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comments4.xml" ContentType="application/vnd.openxmlformats-officedocument.spreadsheetml.comments+xml"/>
  <Override PartName="/xl/threadedComments/threadedComment4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6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charlespapagiannopoulos/Desktop/Yale/Career/Interviews/Point72/"/>
    </mc:Choice>
  </mc:AlternateContent>
  <xr:revisionPtr revIDLastSave="0" documentId="13_ncr:1_{23DA9E93-8A92-6F42-90B2-8EF0E8083BDB}" xr6:coauthVersionLast="47" xr6:coauthVersionMax="47" xr10:uidLastSave="{00000000-0000-0000-0000-000000000000}"/>
  <bookViews>
    <workbookView xWindow="1080" yWindow="500" windowWidth="32520" windowHeight="20500" xr2:uid="{00000000-000D-0000-FFFF-FFFF00000000}"/>
  </bookViews>
  <sheets>
    <sheet name="Assumptions &amp; Drivers" sheetId="1" r:id="rId1"/>
    <sheet name="DCF Summary" sheetId="15" r:id="rId2"/>
    <sheet name="DCF" sheetId="5" r:id="rId3"/>
    <sheet name="WACC" sheetId="13" r:id="rId4"/>
    <sheet name="Financial Statements &amp; Metrics" sheetId="10" r:id="rId5"/>
    <sheet name="Checks" sheetId="9" r:id="rId6"/>
    <sheet name="Ratios &amp; Estimates &gt;&gt;&gt;" sheetId="17" r:id="rId7"/>
    <sheet name="Ratio Analysis Quarterly" sheetId="2" r:id="rId8"/>
    <sheet name="Comps" sheetId="14" r:id="rId9"/>
    <sheet name="Sell Side Ests" sheetId="16" r:id="rId10"/>
    <sheet name="Raw Calcs &gt;&gt;&gt;" sheetId="12" r:id="rId11"/>
    <sheet name="Q4 IS Calcs" sheetId="3" r:id="rId12"/>
    <sheet name="CFS Quarterly and Consolidation" sheetId="11" r:id="rId1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" i="1" l="1"/>
  <c r="X76" i="5"/>
  <c r="Y76" i="5" s="1"/>
  <c r="X8" i="5"/>
  <c r="Y8" i="5" s="1"/>
  <c r="Y42" i="5"/>
  <c r="X42" i="5"/>
  <c r="D15" i="13"/>
  <c r="C17" i="15"/>
  <c r="C16" i="15"/>
  <c r="C15" i="15"/>
  <c r="E76" i="5"/>
  <c r="E83" i="5" s="1"/>
  <c r="F76" i="5"/>
  <c r="F83" i="5" s="1"/>
  <c r="G76" i="5"/>
  <c r="G83" i="5" s="1"/>
  <c r="H76" i="5"/>
  <c r="H83" i="5" s="1"/>
  <c r="I76" i="5"/>
  <c r="I83" i="5" s="1"/>
  <c r="J76" i="5"/>
  <c r="J83" i="5" s="1"/>
  <c r="K76" i="5"/>
  <c r="K83" i="5" s="1"/>
  <c r="L76" i="5"/>
  <c r="L83" i="5" s="1"/>
  <c r="M76" i="5"/>
  <c r="M83" i="5" s="1"/>
  <c r="N76" i="5"/>
  <c r="N83" i="5" s="1"/>
  <c r="O76" i="5"/>
  <c r="O83" i="5" s="1"/>
  <c r="P76" i="5"/>
  <c r="P83" i="5" s="1"/>
  <c r="Q76" i="5"/>
  <c r="Q83" i="5" s="1"/>
  <c r="R76" i="5"/>
  <c r="R83" i="5" s="1"/>
  <c r="S76" i="5"/>
  <c r="S83" i="5" s="1"/>
  <c r="T76" i="5"/>
  <c r="T83" i="5" s="1"/>
  <c r="U76" i="5"/>
  <c r="U83" i="5" s="1"/>
  <c r="V76" i="5"/>
  <c r="V83" i="5" s="1"/>
  <c r="W76" i="5"/>
  <c r="W83" i="5" s="1"/>
  <c r="K11" i="15"/>
  <c r="K9" i="15"/>
  <c r="K8" i="15"/>
  <c r="K7" i="15"/>
  <c r="C11" i="15"/>
  <c r="C9" i="15"/>
  <c r="C8" i="15"/>
  <c r="C7" i="15"/>
  <c r="G11" i="15"/>
  <c r="G9" i="15"/>
  <c r="G8" i="15"/>
  <c r="G7" i="15"/>
  <c r="E88" i="5"/>
  <c r="F88" i="5"/>
  <c r="G88" i="5"/>
  <c r="D88" i="5"/>
  <c r="D76" i="5"/>
  <c r="D83" i="5" s="1"/>
  <c r="G54" i="5"/>
  <c r="F54" i="5"/>
  <c r="E54" i="5"/>
  <c r="D54" i="5"/>
  <c r="E42" i="5"/>
  <c r="E49" i="5" s="1"/>
  <c r="F42" i="5"/>
  <c r="F49" i="5" s="1"/>
  <c r="G42" i="5"/>
  <c r="G49" i="5" s="1"/>
  <c r="H42" i="5"/>
  <c r="H49" i="5" s="1"/>
  <c r="I42" i="5"/>
  <c r="I49" i="5" s="1"/>
  <c r="J42" i="5"/>
  <c r="J49" i="5" s="1"/>
  <c r="K42" i="5"/>
  <c r="K49" i="5" s="1"/>
  <c r="L42" i="5"/>
  <c r="L49" i="5" s="1"/>
  <c r="M42" i="5"/>
  <c r="M49" i="5" s="1"/>
  <c r="N42" i="5"/>
  <c r="N49" i="5" s="1"/>
  <c r="O42" i="5"/>
  <c r="O49" i="5" s="1"/>
  <c r="P42" i="5"/>
  <c r="P49" i="5" s="1"/>
  <c r="Q42" i="5"/>
  <c r="R42" i="5"/>
  <c r="R49" i="5" s="1"/>
  <c r="S42" i="5"/>
  <c r="S49" i="5" s="1"/>
  <c r="T42" i="5"/>
  <c r="T49" i="5" s="1"/>
  <c r="U42" i="5"/>
  <c r="U49" i="5" s="1"/>
  <c r="V42" i="5"/>
  <c r="V49" i="5" s="1"/>
  <c r="W42" i="5"/>
  <c r="W49" i="5" s="1"/>
  <c r="D42" i="5"/>
  <c r="D49" i="5" s="1"/>
  <c r="C75" i="5"/>
  <c r="C82" i="5" s="1"/>
  <c r="Q49" i="5"/>
  <c r="C41" i="5"/>
  <c r="C44" i="5" s="1"/>
  <c r="D41" i="5" l="1"/>
  <c r="E41" i="5"/>
  <c r="F41" i="5" s="1"/>
  <c r="G41" i="5" s="1"/>
  <c r="H41" i="5" s="1"/>
  <c r="I41" i="5" s="1"/>
  <c r="J41" i="5" s="1"/>
  <c r="K41" i="5" s="1"/>
  <c r="L41" i="5" s="1"/>
  <c r="M41" i="5" s="1"/>
  <c r="N41" i="5" s="1"/>
  <c r="O41" i="5" s="1"/>
  <c r="P41" i="5" s="1"/>
  <c r="Q41" i="5" s="1"/>
  <c r="R41" i="5" s="1"/>
  <c r="S41" i="5" s="1"/>
  <c r="T41" i="5" s="1"/>
  <c r="U41" i="5" s="1"/>
  <c r="V41" i="5" s="1"/>
  <c r="W41" i="5" s="1"/>
  <c r="D75" i="5"/>
  <c r="C48" i="5"/>
  <c r="C78" i="5"/>
  <c r="E75" i="5" l="1"/>
  <c r="F75" i="5" s="1"/>
  <c r="G75" i="5" s="1"/>
  <c r="H75" i="5" s="1"/>
  <c r="I75" i="5" s="1"/>
  <c r="J75" i="5" s="1"/>
  <c r="K75" i="5" s="1"/>
  <c r="L75" i="5" s="1"/>
  <c r="M75" i="5" s="1"/>
  <c r="N75" i="5" s="1"/>
  <c r="O75" i="5" s="1"/>
  <c r="P75" i="5" s="1"/>
  <c r="Q75" i="5" s="1"/>
  <c r="R75" i="5" s="1"/>
  <c r="S75" i="5" s="1"/>
  <c r="T75" i="5" s="1"/>
  <c r="U75" i="5" s="1"/>
  <c r="V75" i="5" s="1"/>
  <c r="W75" i="5" s="1"/>
  <c r="E20" i="5" l="1"/>
  <c r="F20" i="5"/>
  <c r="G20" i="5"/>
  <c r="E8" i="5"/>
  <c r="E15" i="5" s="1"/>
  <c r="F8" i="5"/>
  <c r="F15" i="5" s="1"/>
  <c r="G8" i="5"/>
  <c r="G15" i="5" s="1"/>
  <c r="H8" i="5"/>
  <c r="H15" i="5" s="1"/>
  <c r="I8" i="5"/>
  <c r="I15" i="5" s="1"/>
  <c r="J8" i="5"/>
  <c r="J15" i="5" s="1"/>
  <c r="K8" i="5"/>
  <c r="K15" i="5" s="1"/>
  <c r="L8" i="5"/>
  <c r="L15" i="5" s="1"/>
  <c r="M8" i="5"/>
  <c r="M15" i="5" s="1"/>
  <c r="N8" i="5"/>
  <c r="N15" i="5" s="1"/>
  <c r="O8" i="5"/>
  <c r="O15" i="5" s="1"/>
  <c r="P8" i="5"/>
  <c r="P15" i="5" s="1"/>
  <c r="Q8" i="5"/>
  <c r="Q15" i="5" s="1"/>
  <c r="R8" i="5"/>
  <c r="R15" i="5" s="1"/>
  <c r="S8" i="5"/>
  <c r="S15" i="5" s="1"/>
  <c r="T8" i="5"/>
  <c r="T15" i="5" s="1"/>
  <c r="U8" i="5"/>
  <c r="U15" i="5" s="1"/>
  <c r="V8" i="5"/>
  <c r="V15" i="5" s="1"/>
  <c r="W8" i="5"/>
  <c r="W15" i="5" s="1"/>
  <c r="D8" i="5"/>
  <c r="D20" i="5"/>
  <c r="C7" i="5"/>
  <c r="C10" i="5" s="1"/>
  <c r="C55" i="1"/>
  <c r="D78" i="5" s="1"/>
  <c r="C39" i="1"/>
  <c r="D44" i="5" s="1"/>
  <c r="D39" i="1"/>
  <c r="E39" i="1" s="1"/>
  <c r="F39" i="1" s="1"/>
  <c r="G39" i="1" s="1"/>
  <c r="H39" i="1" s="1"/>
  <c r="I39" i="1" s="1"/>
  <c r="J39" i="1" s="1"/>
  <c r="K39" i="1" s="1"/>
  <c r="L39" i="1" s="1"/>
  <c r="M39" i="1" s="1"/>
  <c r="N39" i="1" s="1"/>
  <c r="O39" i="1" s="1"/>
  <c r="P39" i="1" s="1"/>
  <c r="Q39" i="1" s="1"/>
  <c r="R39" i="1" s="1"/>
  <c r="S39" i="1" s="1"/>
  <c r="T39" i="1" s="1"/>
  <c r="U39" i="1" s="1"/>
  <c r="V39" i="1" s="1"/>
  <c r="D55" i="1"/>
  <c r="E55" i="1" s="1"/>
  <c r="F55" i="1" s="1"/>
  <c r="G55" i="1" s="1"/>
  <c r="H55" i="1" s="1"/>
  <c r="I55" i="1" s="1"/>
  <c r="J55" i="1" s="1"/>
  <c r="K55" i="1" s="1"/>
  <c r="L55" i="1" s="1"/>
  <c r="M55" i="1" s="1"/>
  <c r="N55" i="1" s="1"/>
  <c r="O55" i="1" s="1"/>
  <c r="P55" i="1" s="1"/>
  <c r="Q55" i="1" s="1"/>
  <c r="R55" i="1" s="1"/>
  <c r="S55" i="1" s="1"/>
  <c r="T55" i="1" s="1"/>
  <c r="U55" i="1" s="1"/>
  <c r="V55" i="1" s="1"/>
  <c r="D18" i="13"/>
  <c r="D4" i="1"/>
  <c r="C23" i="1"/>
  <c r="D23" i="1" s="1"/>
  <c r="E23" i="1" s="1"/>
  <c r="F23" i="1" s="1"/>
  <c r="G23" i="1" s="1"/>
  <c r="H23" i="1" s="1"/>
  <c r="I23" i="1" s="1"/>
  <c r="J23" i="1" s="1"/>
  <c r="K23" i="1" s="1"/>
  <c r="L23" i="1" s="1"/>
  <c r="M23" i="1" s="1"/>
  <c r="N23" i="1" s="1"/>
  <c r="O23" i="1" s="1"/>
  <c r="P23" i="1" s="1"/>
  <c r="Q23" i="1" s="1"/>
  <c r="R23" i="1" s="1"/>
  <c r="S23" i="1" s="1"/>
  <c r="T23" i="1" s="1"/>
  <c r="U23" i="1" s="1"/>
  <c r="V23" i="1" s="1"/>
  <c r="P5" i="10"/>
  <c r="E5" i="10"/>
  <c r="F5" i="10"/>
  <c r="G5" i="10"/>
  <c r="H5" i="10"/>
  <c r="I5" i="10"/>
  <c r="J5" i="10"/>
  <c r="K5" i="10"/>
  <c r="L5" i="10"/>
  <c r="M5" i="10"/>
  <c r="N5" i="10"/>
  <c r="D5" i="10"/>
  <c r="C100" i="10"/>
  <c r="D64" i="10"/>
  <c r="E64" i="10"/>
  <c r="F64" i="10"/>
  <c r="G64" i="10"/>
  <c r="H64" i="10"/>
  <c r="I64" i="10"/>
  <c r="J64" i="10"/>
  <c r="K64" i="10"/>
  <c r="L64" i="10"/>
  <c r="M64" i="10"/>
  <c r="N64" i="10"/>
  <c r="D65" i="10"/>
  <c r="E65" i="10"/>
  <c r="F65" i="10"/>
  <c r="G65" i="10"/>
  <c r="H65" i="10"/>
  <c r="I65" i="10"/>
  <c r="J65" i="10"/>
  <c r="K65" i="10"/>
  <c r="L65" i="10"/>
  <c r="M65" i="10"/>
  <c r="N65" i="10"/>
  <c r="D67" i="10"/>
  <c r="E67" i="10"/>
  <c r="F67" i="10"/>
  <c r="G67" i="10"/>
  <c r="H67" i="10"/>
  <c r="I67" i="10"/>
  <c r="J67" i="10"/>
  <c r="K67" i="10"/>
  <c r="L67" i="10"/>
  <c r="M67" i="10"/>
  <c r="N67" i="10"/>
  <c r="D68" i="10"/>
  <c r="E68" i="10"/>
  <c r="F68" i="10"/>
  <c r="G68" i="10"/>
  <c r="H68" i="10"/>
  <c r="I68" i="10"/>
  <c r="J68" i="10"/>
  <c r="K68" i="10"/>
  <c r="L68" i="10"/>
  <c r="M68" i="10"/>
  <c r="N68" i="10"/>
  <c r="C68" i="10"/>
  <c r="C67" i="10"/>
  <c r="C65" i="10"/>
  <c r="C64" i="10"/>
  <c r="D100" i="10"/>
  <c r="E100" i="10"/>
  <c r="F100" i="10"/>
  <c r="G100" i="10"/>
  <c r="H100" i="10"/>
  <c r="I100" i="10"/>
  <c r="J100" i="10"/>
  <c r="K100" i="10"/>
  <c r="L100" i="10"/>
  <c r="M100" i="10"/>
  <c r="N100" i="10"/>
  <c r="D19" i="13"/>
  <c r="D9" i="13"/>
  <c r="E19" i="13" s="1"/>
  <c r="E18" i="13"/>
  <c r="D6" i="10"/>
  <c r="E6" i="10"/>
  <c r="F6" i="10"/>
  <c r="G6" i="10"/>
  <c r="H6" i="10"/>
  <c r="I6" i="10"/>
  <c r="J6" i="10"/>
  <c r="K6" i="10"/>
  <c r="L6" i="10"/>
  <c r="M6" i="10"/>
  <c r="N6" i="10"/>
  <c r="C6" i="10"/>
  <c r="C91" i="5" l="1"/>
  <c r="C57" i="5"/>
  <c r="K7" i="10"/>
  <c r="C69" i="10"/>
  <c r="C66" i="5"/>
  <c r="C100" i="5"/>
  <c r="C32" i="5"/>
  <c r="D7" i="5"/>
  <c r="D15" i="5"/>
  <c r="C14" i="5"/>
  <c r="P100" i="10"/>
  <c r="D69" i="10"/>
  <c r="H69" i="10"/>
  <c r="L69" i="10"/>
  <c r="M66" i="10"/>
  <c r="E66" i="10"/>
  <c r="K69" i="10"/>
  <c r="L66" i="10"/>
  <c r="C66" i="10"/>
  <c r="K66" i="10"/>
  <c r="J69" i="10"/>
  <c r="J66" i="10"/>
  <c r="I69" i="10"/>
  <c r="D66" i="10"/>
  <c r="D70" i="10" s="1"/>
  <c r="E69" i="10"/>
  <c r="G69" i="10"/>
  <c r="I66" i="10"/>
  <c r="N69" i="10"/>
  <c r="F69" i="10"/>
  <c r="H66" i="10"/>
  <c r="M69" i="10"/>
  <c r="G66" i="10"/>
  <c r="N66" i="10"/>
  <c r="F66" i="10"/>
  <c r="N7" i="10"/>
  <c r="F7" i="10"/>
  <c r="G7" i="10"/>
  <c r="M7" i="10"/>
  <c r="L7" i="10"/>
  <c r="E7" i="10"/>
  <c r="J7" i="10"/>
  <c r="D7" i="10"/>
  <c r="I7" i="10"/>
  <c r="C19" i="13"/>
  <c r="C18" i="13"/>
  <c r="H7" i="10"/>
  <c r="C70" i="10" l="1"/>
  <c r="P7" i="10"/>
  <c r="K70" i="10"/>
  <c r="D79" i="5"/>
  <c r="E78" i="5"/>
  <c r="D82" i="5"/>
  <c r="C23" i="5"/>
  <c r="E44" i="5"/>
  <c r="D48" i="5"/>
  <c r="D45" i="5"/>
  <c r="D10" i="5"/>
  <c r="D11" i="5" s="1"/>
  <c r="D14" i="5"/>
  <c r="E7" i="5"/>
  <c r="E14" i="5" s="1"/>
  <c r="L70" i="10"/>
  <c r="H70" i="10"/>
  <c r="M70" i="10"/>
  <c r="L71" i="10"/>
  <c r="L72" i="10" s="1"/>
  <c r="D71" i="10"/>
  <c r="D72" i="10" s="1"/>
  <c r="E70" i="10"/>
  <c r="E71" i="10" s="1"/>
  <c r="E72" i="10" s="1"/>
  <c r="M71" i="10"/>
  <c r="M72" i="10" s="1"/>
  <c r="I70" i="10"/>
  <c r="I71" i="10" s="1"/>
  <c r="I72" i="10" s="1"/>
  <c r="F70" i="10"/>
  <c r="J70" i="10"/>
  <c r="N70" i="10"/>
  <c r="G70" i="10"/>
  <c r="E20" i="13"/>
  <c r="C118" i="10"/>
  <c r="D122" i="10"/>
  <c r="E122" i="10"/>
  <c r="F122" i="10"/>
  <c r="G122" i="10"/>
  <c r="H122" i="10"/>
  <c r="I122" i="10"/>
  <c r="J122" i="10"/>
  <c r="K122" i="10"/>
  <c r="L122" i="10"/>
  <c r="M122" i="10"/>
  <c r="N122" i="10"/>
  <c r="C122" i="10"/>
  <c r="D121" i="10"/>
  <c r="E121" i="10"/>
  <c r="F121" i="10"/>
  <c r="G121" i="10"/>
  <c r="H121" i="10"/>
  <c r="I121" i="10"/>
  <c r="J121" i="10"/>
  <c r="K121" i="10"/>
  <c r="L121" i="10"/>
  <c r="M121" i="10"/>
  <c r="N121" i="10"/>
  <c r="C121" i="10"/>
  <c r="D119" i="10"/>
  <c r="E119" i="10"/>
  <c r="F119" i="10"/>
  <c r="G119" i="10"/>
  <c r="H119" i="10"/>
  <c r="I119" i="10"/>
  <c r="J119" i="10"/>
  <c r="K119" i="10"/>
  <c r="L119" i="10"/>
  <c r="M119" i="10"/>
  <c r="N119" i="10"/>
  <c r="C119" i="10"/>
  <c r="D118" i="10"/>
  <c r="E118" i="10"/>
  <c r="F118" i="10"/>
  <c r="G118" i="10"/>
  <c r="H118" i="10"/>
  <c r="I118" i="10"/>
  <c r="J118" i="10"/>
  <c r="K118" i="10"/>
  <c r="L118" i="10"/>
  <c r="M118" i="10"/>
  <c r="N118" i="10"/>
  <c r="D117" i="10"/>
  <c r="E117" i="10"/>
  <c r="F117" i="10"/>
  <c r="G117" i="10"/>
  <c r="H117" i="10"/>
  <c r="I117" i="10"/>
  <c r="J117" i="10"/>
  <c r="K117" i="10"/>
  <c r="L117" i="10"/>
  <c r="M117" i="10"/>
  <c r="N117" i="10"/>
  <c r="C117" i="10"/>
  <c r="E9" i="9"/>
  <c r="F9" i="9"/>
  <c r="G9" i="9"/>
  <c r="H9" i="9"/>
  <c r="I9" i="9"/>
  <c r="J9" i="9"/>
  <c r="K9" i="9"/>
  <c r="L9" i="9"/>
  <c r="M9" i="9"/>
  <c r="N9" i="9"/>
  <c r="D9" i="9"/>
  <c r="D8" i="9"/>
  <c r="E8" i="9"/>
  <c r="F8" i="9"/>
  <c r="G8" i="9"/>
  <c r="H8" i="9"/>
  <c r="I8" i="9"/>
  <c r="J8" i="9"/>
  <c r="K8" i="9"/>
  <c r="L8" i="9"/>
  <c r="M8" i="9"/>
  <c r="N8" i="9"/>
  <c r="C8" i="9"/>
  <c r="D5" i="9"/>
  <c r="E5" i="9"/>
  <c r="F5" i="9"/>
  <c r="G5" i="9"/>
  <c r="H5" i="9"/>
  <c r="I5" i="9"/>
  <c r="J5" i="9"/>
  <c r="K5" i="9"/>
  <c r="L5" i="9"/>
  <c r="M5" i="9"/>
  <c r="N5" i="9"/>
  <c r="C5" i="9"/>
  <c r="V46" i="11"/>
  <c r="W46" i="11"/>
  <c r="V47" i="11"/>
  <c r="W47" i="11"/>
  <c r="V48" i="11"/>
  <c r="W48" i="11"/>
  <c r="V49" i="11"/>
  <c r="V58" i="11" s="1"/>
  <c r="V68" i="11" s="1"/>
  <c r="W49" i="11"/>
  <c r="V51" i="11"/>
  <c r="W51" i="11"/>
  <c r="V52" i="11"/>
  <c r="W52" i="11"/>
  <c r="V53" i="11"/>
  <c r="W53" i="11"/>
  <c r="V54" i="11"/>
  <c r="W54" i="11"/>
  <c r="W58" i="11" s="1"/>
  <c r="W68" i="11" s="1"/>
  <c r="V55" i="11"/>
  <c r="W55" i="11"/>
  <c r="V56" i="11"/>
  <c r="W56" i="11"/>
  <c r="V57" i="11"/>
  <c r="W57" i="11"/>
  <c r="V60" i="11"/>
  <c r="W60" i="11"/>
  <c r="V61" i="11"/>
  <c r="W61" i="11"/>
  <c r="V62" i="11"/>
  <c r="W62" i="11"/>
  <c r="V64" i="11"/>
  <c r="V67" i="11" s="1"/>
  <c r="W64" i="11"/>
  <c r="W67" i="11" s="1"/>
  <c r="V65" i="11"/>
  <c r="W65" i="11"/>
  <c r="V66" i="11"/>
  <c r="W66" i="11"/>
  <c r="W5" i="11"/>
  <c r="W6" i="11"/>
  <c r="W7" i="11"/>
  <c r="W8" i="11"/>
  <c r="W9" i="11"/>
  <c r="W10" i="11"/>
  <c r="W12" i="11"/>
  <c r="W13" i="11"/>
  <c r="W14" i="11"/>
  <c r="W15" i="11"/>
  <c r="W16" i="11"/>
  <c r="W17" i="11"/>
  <c r="W18" i="11"/>
  <c r="W19" i="11"/>
  <c r="W21" i="11"/>
  <c r="W22" i="11"/>
  <c r="W23" i="11"/>
  <c r="W24" i="11"/>
  <c r="W26" i="11"/>
  <c r="W27" i="11"/>
  <c r="W28" i="11"/>
  <c r="W29" i="11"/>
  <c r="W30" i="11"/>
  <c r="W31" i="11"/>
  <c r="W32" i="11"/>
  <c r="W33" i="11"/>
  <c r="W34" i="11"/>
  <c r="W35" i="11"/>
  <c r="W36" i="11"/>
  <c r="W37" i="11"/>
  <c r="W38" i="11"/>
  <c r="W40" i="11"/>
  <c r="W41" i="11"/>
  <c r="W42" i="11"/>
  <c r="W43" i="11"/>
  <c r="W3" i="11"/>
  <c r="T46" i="11"/>
  <c r="U46" i="11"/>
  <c r="T47" i="11"/>
  <c r="U47" i="11"/>
  <c r="T48" i="11"/>
  <c r="U48" i="11"/>
  <c r="T49" i="11"/>
  <c r="T58" i="11" s="1"/>
  <c r="T68" i="11" s="1"/>
  <c r="U49" i="11"/>
  <c r="T51" i="11"/>
  <c r="U51" i="11"/>
  <c r="T52" i="11"/>
  <c r="U52" i="11"/>
  <c r="T53" i="11"/>
  <c r="U53" i="11"/>
  <c r="T54" i="11"/>
  <c r="U54" i="11"/>
  <c r="T55" i="11"/>
  <c r="U55" i="11"/>
  <c r="T56" i="11"/>
  <c r="U56" i="11"/>
  <c r="T57" i="11"/>
  <c r="U57" i="11"/>
  <c r="U58" i="11"/>
  <c r="T60" i="11"/>
  <c r="U60" i="11"/>
  <c r="T61" i="11"/>
  <c r="U61" i="11"/>
  <c r="T62" i="11"/>
  <c r="U62" i="11"/>
  <c r="T64" i="11"/>
  <c r="T67" i="11" s="1"/>
  <c r="U64" i="11"/>
  <c r="U67" i="11" s="1"/>
  <c r="U68" i="11" s="1"/>
  <c r="T65" i="11"/>
  <c r="U65" i="11"/>
  <c r="T66" i="11"/>
  <c r="U66" i="11"/>
  <c r="U5" i="11"/>
  <c r="U6" i="11"/>
  <c r="U7" i="11"/>
  <c r="U8" i="11"/>
  <c r="U9" i="11"/>
  <c r="U10" i="11"/>
  <c r="U12" i="11"/>
  <c r="U13" i="11"/>
  <c r="U14" i="11"/>
  <c r="U15" i="11"/>
  <c r="U16" i="11"/>
  <c r="U17" i="11"/>
  <c r="U18" i="11"/>
  <c r="U19" i="11"/>
  <c r="U21" i="11"/>
  <c r="U22" i="11"/>
  <c r="U23" i="11"/>
  <c r="U24" i="11"/>
  <c r="U26" i="11"/>
  <c r="U27" i="11"/>
  <c r="U28" i="11"/>
  <c r="U29" i="11"/>
  <c r="U30" i="11"/>
  <c r="U31" i="11"/>
  <c r="U32" i="11"/>
  <c r="U33" i="11"/>
  <c r="U34" i="11"/>
  <c r="U35" i="11"/>
  <c r="U36" i="11"/>
  <c r="U37" i="11"/>
  <c r="U38" i="11"/>
  <c r="U40" i="11"/>
  <c r="U41" i="11"/>
  <c r="U42" i="11"/>
  <c r="U43" i="11"/>
  <c r="U3" i="11"/>
  <c r="R46" i="11"/>
  <c r="S46" i="11"/>
  <c r="R47" i="11"/>
  <c r="S47" i="11"/>
  <c r="R48" i="11"/>
  <c r="S48" i="11"/>
  <c r="R49" i="11"/>
  <c r="S49" i="11"/>
  <c r="R51" i="11"/>
  <c r="S51" i="11"/>
  <c r="R52" i="11"/>
  <c r="S52" i="11"/>
  <c r="R53" i="11"/>
  <c r="S53" i="11"/>
  <c r="R54" i="11"/>
  <c r="S54" i="11"/>
  <c r="R55" i="11"/>
  <c r="S55" i="11"/>
  <c r="R56" i="11"/>
  <c r="S56" i="11"/>
  <c r="R57" i="11"/>
  <c r="S57" i="11"/>
  <c r="R58" i="11"/>
  <c r="R68" i="11" s="1"/>
  <c r="S58" i="11"/>
  <c r="R60" i="11"/>
  <c r="S60" i="11"/>
  <c r="R61" i="11"/>
  <c r="S61" i="11"/>
  <c r="R62" i="11"/>
  <c r="S62" i="11"/>
  <c r="R64" i="11"/>
  <c r="R67" i="11" s="1"/>
  <c r="S64" i="11"/>
  <c r="S67" i="11" s="1"/>
  <c r="S68" i="11" s="1"/>
  <c r="R65" i="11"/>
  <c r="S65" i="11"/>
  <c r="R66" i="11"/>
  <c r="S66" i="11"/>
  <c r="S5" i="11"/>
  <c r="S6" i="11"/>
  <c r="S7" i="11"/>
  <c r="S8" i="11"/>
  <c r="S9" i="11"/>
  <c r="S10" i="11"/>
  <c r="S12" i="11"/>
  <c r="S13" i="11"/>
  <c r="S14" i="11"/>
  <c r="S15" i="11"/>
  <c r="S16" i="11"/>
  <c r="S17" i="11"/>
  <c r="S18" i="11"/>
  <c r="S19" i="11"/>
  <c r="S21" i="11"/>
  <c r="S22" i="11"/>
  <c r="S23" i="11"/>
  <c r="S24" i="11"/>
  <c r="S26" i="11"/>
  <c r="S27" i="11"/>
  <c r="S28" i="11"/>
  <c r="S29" i="11"/>
  <c r="S30" i="11"/>
  <c r="S31" i="11"/>
  <c r="S32" i="11"/>
  <c r="S33" i="11"/>
  <c r="S34" i="11"/>
  <c r="S35" i="11"/>
  <c r="S36" i="11"/>
  <c r="S37" i="11"/>
  <c r="S38" i="11"/>
  <c r="S40" i="11"/>
  <c r="S41" i="11"/>
  <c r="S42" i="11"/>
  <c r="S43" i="11"/>
  <c r="S3" i="11"/>
  <c r="Q46" i="11"/>
  <c r="Q47" i="11"/>
  <c r="Q48" i="11"/>
  <c r="Q49" i="11"/>
  <c r="Q51" i="11"/>
  <c r="Q58" i="11" s="1"/>
  <c r="Q52" i="11"/>
  <c r="Q53" i="11"/>
  <c r="Q54" i="11"/>
  <c r="Q55" i="11"/>
  <c r="Q56" i="11"/>
  <c r="Q57" i="11"/>
  <c r="Q60" i="11"/>
  <c r="Q61" i="11"/>
  <c r="Q62" i="11"/>
  <c r="Q64" i="11"/>
  <c r="Q67" i="11" s="1"/>
  <c r="Q65" i="11"/>
  <c r="Q66" i="11"/>
  <c r="O46" i="11"/>
  <c r="P46" i="11"/>
  <c r="O47" i="11"/>
  <c r="P47" i="11"/>
  <c r="O48" i="11"/>
  <c r="P48" i="11"/>
  <c r="O49" i="11"/>
  <c r="P49" i="11"/>
  <c r="O51" i="11"/>
  <c r="P51" i="11"/>
  <c r="O52" i="11"/>
  <c r="P52" i="11"/>
  <c r="O53" i="11"/>
  <c r="P53" i="11"/>
  <c r="O54" i="11"/>
  <c r="P54" i="11"/>
  <c r="O55" i="11"/>
  <c r="P55" i="11"/>
  <c r="O56" i="11"/>
  <c r="P56" i="11"/>
  <c r="O57" i="11"/>
  <c r="P57" i="11"/>
  <c r="O58" i="11"/>
  <c r="P58" i="11"/>
  <c r="O60" i="11"/>
  <c r="P60" i="11"/>
  <c r="O61" i="11"/>
  <c r="P61" i="11"/>
  <c r="O62" i="11"/>
  <c r="P62" i="11"/>
  <c r="O64" i="11"/>
  <c r="O67" i="11" s="1"/>
  <c r="O68" i="11" s="1"/>
  <c r="P64" i="11"/>
  <c r="P67" i="11" s="1"/>
  <c r="P68" i="11" s="1"/>
  <c r="O65" i="11"/>
  <c r="P65" i="11"/>
  <c r="O66" i="11"/>
  <c r="P66" i="11"/>
  <c r="P3" i="11"/>
  <c r="N5" i="11"/>
  <c r="N6" i="11"/>
  <c r="N7" i="11"/>
  <c r="N8" i="11"/>
  <c r="N9" i="11"/>
  <c r="N49" i="11" s="1"/>
  <c r="N10" i="11"/>
  <c r="N12" i="11"/>
  <c r="N13" i="11"/>
  <c r="N14" i="11"/>
  <c r="N15" i="11"/>
  <c r="N16" i="11"/>
  <c r="N17" i="11"/>
  <c r="N56" i="11" s="1"/>
  <c r="N18" i="11"/>
  <c r="N57" i="11" s="1"/>
  <c r="N19" i="11"/>
  <c r="N21" i="11"/>
  <c r="N22" i="11"/>
  <c r="N23" i="11"/>
  <c r="N24" i="11"/>
  <c r="N26" i="11"/>
  <c r="N64" i="11" s="1"/>
  <c r="N67" i="11" s="1"/>
  <c r="N27" i="11"/>
  <c r="N28" i="11"/>
  <c r="N29" i="11"/>
  <c r="N30" i="11"/>
  <c r="N31" i="11"/>
  <c r="N32" i="11"/>
  <c r="N33" i="11"/>
  <c r="N34" i="11"/>
  <c r="N35" i="11"/>
  <c r="N36" i="11"/>
  <c r="N37" i="11"/>
  <c r="N38" i="11"/>
  <c r="N40" i="11"/>
  <c r="N41" i="11"/>
  <c r="N42" i="11"/>
  <c r="N43" i="11"/>
  <c r="N3" i="11"/>
  <c r="P5" i="11"/>
  <c r="P6" i="11"/>
  <c r="P7" i="11"/>
  <c r="P8" i="11"/>
  <c r="P9" i="11"/>
  <c r="P10" i="11"/>
  <c r="P12" i="11"/>
  <c r="P13" i="11"/>
  <c r="P14" i="11"/>
  <c r="P15" i="11"/>
  <c r="P16" i="11"/>
  <c r="P17" i="11"/>
  <c r="P18" i="11"/>
  <c r="P19" i="11"/>
  <c r="P21" i="11"/>
  <c r="P22" i="11"/>
  <c r="P23" i="11"/>
  <c r="P24" i="11"/>
  <c r="P26" i="11"/>
  <c r="P27" i="11"/>
  <c r="P28" i="11"/>
  <c r="P29" i="11"/>
  <c r="P30" i="11"/>
  <c r="P31" i="11"/>
  <c r="P32" i="11"/>
  <c r="P33" i="11"/>
  <c r="P34" i="11"/>
  <c r="P35" i="11"/>
  <c r="P36" i="11"/>
  <c r="P37" i="11"/>
  <c r="P38" i="11"/>
  <c r="P40" i="11"/>
  <c r="P41" i="11"/>
  <c r="P42" i="11"/>
  <c r="P43" i="11"/>
  <c r="M46" i="11"/>
  <c r="N46" i="11"/>
  <c r="M47" i="11"/>
  <c r="N47" i="11"/>
  <c r="M48" i="11"/>
  <c r="N48" i="11"/>
  <c r="M49" i="11"/>
  <c r="M51" i="11"/>
  <c r="N51" i="11"/>
  <c r="M52" i="11"/>
  <c r="N52" i="11"/>
  <c r="M53" i="11"/>
  <c r="N53" i="11"/>
  <c r="M54" i="11"/>
  <c r="N54" i="11"/>
  <c r="M55" i="11"/>
  <c r="N55" i="11"/>
  <c r="M56" i="11"/>
  <c r="M57" i="11"/>
  <c r="M58" i="11"/>
  <c r="M68" i="11" s="1"/>
  <c r="M60" i="11"/>
  <c r="N60" i="11"/>
  <c r="N62" i="11" s="1"/>
  <c r="M61" i="11"/>
  <c r="N61" i="11"/>
  <c r="M62" i="11"/>
  <c r="M64" i="11"/>
  <c r="M67" i="11" s="1"/>
  <c r="M65" i="11"/>
  <c r="N65" i="11"/>
  <c r="M66" i="11"/>
  <c r="N66" i="11"/>
  <c r="K46" i="11"/>
  <c r="L46" i="11"/>
  <c r="K47" i="11"/>
  <c r="L47" i="11"/>
  <c r="K48" i="11"/>
  <c r="L48" i="11"/>
  <c r="K49" i="11"/>
  <c r="K58" i="11" s="1"/>
  <c r="K68" i="11" s="1"/>
  <c r="L49" i="11"/>
  <c r="K51" i="11"/>
  <c r="L51" i="11"/>
  <c r="K52" i="11"/>
  <c r="L52" i="11"/>
  <c r="K53" i="11"/>
  <c r="L53" i="11"/>
  <c r="K54" i="11"/>
  <c r="L54" i="11"/>
  <c r="K55" i="11"/>
  <c r="L55" i="11"/>
  <c r="K56" i="11"/>
  <c r="L56" i="11"/>
  <c r="K57" i="11"/>
  <c r="L57" i="11"/>
  <c r="L58" i="11"/>
  <c r="K60" i="11"/>
  <c r="L60" i="11"/>
  <c r="K61" i="11"/>
  <c r="L61" i="11"/>
  <c r="K62" i="11"/>
  <c r="L62" i="11"/>
  <c r="K64" i="11"/>
  <c r="K67" i="11" s="1"/>
  <c r="L64" i="11"/>
  <c r="L67" i="11" s="1"/>
  <c r="L68" i="11" s="1"/>
  <c r="K65" i="11"/>
  <c r="L65" i="11"/>
  <c r="K66" i="11"/>
  <c r="L66" i="11"/>
  <c r="L5" i="11"/>
  <c r="L6" i="11"/>
  <c r="L7" i="11"/>
  <c r="L8" i="11"/>
  <c r="L9" i="11"/>
  <c r="L10" i="11"/>
  <c r="L12" i="11"/>
  <c r="L13" i="11"/>
  <c r="L14" i="11"/>
  <c r="L15" i="11"/>
  <c r="L16" i="11"/>
  <c r="L17" i="11"/>
  <c r="L18" i="11"/>
  <c r="L19" i="11"/>
  <c r="L21" i="11"/>
  <c r="L22" i="11"/>
  <c r="L23" i="11"/>
  <c r="L24" i="11"/>
  <c r="L26" i="11"/>
  <c r="L27" i="11"/>
  <c r="L28" i="11"/>
  <c r="L29" i="11"/>
  <c r="L30" i="11"/>
  <c r="L31" i="11"/>
  <c r="L32" i="11"/>
  <c r="L33" i="11"/>
  <c r="L34" i="11"/>
  <c r="L35" i="11"/>
  <c r="L36" i="11"/>
  <c r="L37" i="11"/>
  <c r="L38" i="11"/>
  <c r="L40" i="11"/>
  <c r="L41" i="11"/>
  <c r="L42" i="11"/>
  <c r="L43" i="11"/>
  <c r="L3" i="11"/>
  <c r="J60" i="11"/>
  <c r="J61" i="11"/>
  <c r="J62" i="11"/>
  <c r="J64" i="11"/>
  <c r="J65" i="11"/>
  <c r="J66" i="11"/>
  <c r="J67" i="11" s="1"/>
  <c r="J68" i="11" s="1"/>
  <c r="J51" i="11"/>
  <c r="J52" i="11"/>
  <c r="J53" i="11"/>
  <c r="J54" i="11"/>
  <c r="J55" i="11"/>
  <c r="J56" i="11"/>
  <c r="J57" i="11"/>
  <c r="J58" i="11"/>
  <c r="J46" i="11"/>
  <c r="J47" i="11"/>
  <c r="J48" i="11"/>
  <c r="J49" i="11"/>
  <c r="D68" i="11"/>
  <c r="E68" i="11"/>
  <c r="F68" i="11"/>
  <c r="G68" i="11"/>
  <c r="H68" i="11"/>
  <c r="I68" i="11"/>
  <c r="C68" i="11"/>
  <c r="D67" i="11"/>
  <c r="E67" i="11"/>
  <c r="F67" i="11"/>
  <c r="G67" i="11"/>
  <c r="H67" i="11"/>
  <c r="I67" i="11"/>
  <c r="C67" i="11"/>
  <c r="D66" i="11"/>
  <c r="E66" i="11"/>
  <c r="F66" i="11"/>
  <c r="G66" i="11"/>
  <c r="H66" i="11"/>
  <c r="I66" i="11"/>
  <c r="C66" i="11"/>
  <c r="D65" i="11"/>
  <c r="E65" i="11"/>
  <c r="F65" i="11"/>
  <c r="G65" i="11"/>
  <c r="H65" i="11"/>
  <c r="I65" i="11"/>
  <c r="C65" i="11"/>
  <c r="D64" i="11"/>
  <c r="E64" i="11"/>
  <c r="F64" i="11"/>
  <c r="G64" i="11"/>
  <c r="H64" i="11"/>
  <c r="I64" i="11"/>
  <c r="C64" i="11"/>
  <c r="D62" i="11"/>
  <c r="E62" i="11"/>
  <c r="F62" i="11"/>
  <c r="G62" i="11"/>
  <c r="H62" i="11"/>
  <c r="I62" i="11"/>
  <c r="C62" i="11"/>
  <c r="D61" i="11"/>
  <c r="E61" i="11"/>
  <c r="F61" i="11"/>
  <c r="G61" i="11"/>
  <c r="H61" i="11"/>
  <c r="I61" i="11"/>
  <c r="C61" i="11"/>
  <c r="D60" i="11"/>
  <c r="E60" i="11"/>
  <c r="F60" i="11"/>
  <c r="G60" i="11"/>
  <c r="H60" i="11"/>
  <c r="I60" i="11"/>
  <c r="C60" i="11"/>
  <c r="D58" i="11"/>
  <c r="E58" i="11"/>
  <c r="F58" i="11"/>
  <c r="G58" i="11"/>
  <c r="H58" i="11"/>
  <c r="I58" i="11"/>
  <c r="C58" i="11"/>
  <c r="D51" i="11"/>
  <c r="E51" i="11"/>
  <c r="F51" i="11"/>
  <c r="G51" i="11"/>
  <c r="H51" i="11"/>
  <c r="I51" i="11"/>
  <c r="D52" i="11"/>
  <c r="E52" i="11"/>
  <c r="F52" i="11"/>
  <c r="G52" i="11"/>
  <c r="H52" i="11"/>
  <c r="I52" i="11"/>
  <c r="D53" i="11"/>
  <c r="E53" i="11"/>
  <c r="F53" i="11"/>
  <c r="G53" i="11"/>
  <c r="H53" i="11"/>
  <c r="I53" i="11"/>
  <c r="D54" i="11"/>
  <c r="E54" i="11"/>
  <c r="F54" i="11"/>
  <c r="G54" i="11"/>
  <c r="H54" i="11"/>
  <c r="I54" i="11"/>
  <c r="D55" i="11"/>
  <c r="E55" i="11"/>
  <c r="F55" i="11"/>
  <c r="G55" i="11"/>
  <c r="H55" i="11"/>
  <c r="I55" i="11"/>
  <c r="D56" i="11"/>
  <c r="E56" i="11"/>
  <c r="F56" i="11"/>
  <c r="G56" i="11"/>
  <c r="H56" i="11"/>
  <c r="I56" i="11"/>
  <c r="D57" i="11"/>
  <c r="E57" i="11"/>
  <c r="F57" i="11"/>
  <c r="G57" i="11"/>
  <c r="H57" i="11"/>
  <c r="I57" i="11"/>
  <c r="C52" i="11"/>
  <c r="C53" i="11"/>
  <c r="C54" i="11"/>
  <c r="C55" i="11"/>
  <c r="C56" i="11"/>
  <c r="C57" i="11"/>
  <c r="C51" i="11"/>
  <c r="D46" i="11"/>
  <c r="E46" i="11"/>
  <c r="F46" i="11"/>
  <c r="G46" i="11"/>
  <c r="H46" i="11"/>
  <c r="I46" i="11"/>
  <c r="D47" i="11"/>
  <c r="E47" i="11"/>
  <c r="F47" i="11"/>
  <c r="G47" i="11"/>
  <c r="H47" i="11"/>
  <c r="I47" i="11"/>
  <c r="D48" i="11"/>
  <c r="E48" i="11"/>
  <c r="F48" i="11"/>
  <c r="G48" i="11"/>
  <c r="H48" i="11"/>
  <c r="I48" i="11"/>
  <c r="D49" i="11"/>
  <c r="E49" i="11"/>
  <c r="F49" i="11"/>
  <c r="G49" i="11"/>
  <c r="H49" i="11"/>
  <c r="I49" i="11"/>
  <c r="C49" i="11"/>
  <c r="C48" i="11"/>
  <c r="C47" i="11"/>
  <c r="C46" i="11"/>
  <c r="I43" i="11"/>
  <c r="G43" i="11"/>
  <c r="E43" i="11"/>
  <c r="I42" i="11"/>
  <c r="G42" i="11"/>
  <c r="E42" i="11"/>
  <c r="I41" i="11"/>
  <c r="G41" i="11"/>
  <c r="E41" i="11"/>
  <c r="I40" i="11"/>
  <c r="G40" i="11"/>
  <c r="E40" i="11"/>
  <c r="I38" i="11"/>
  <c r="G38" i="11"/>
  <c r="E38" i="11"/>
  <c r="I37" i="11"/>
  <c r="G37" i="11"/>
  <c r="E37" i="11"/>
  <c r="I36" i="11"/>
  <c r="G36" i="11"/>
  <c r="E36" i="11"/>
  <c r="I35" i="11"/>
  <c r="G35" i="11"/>
  <c r="E35" i="11"/>
  <c r="I34" i="11"/>
  <c r="G34" i="11"/>
  <c r="E34" i="11"/>
  <c r="I33" i="11"/>
  <c r="G33" i="11"/>
  <c r="E33" i="11"/>
  <c r="I32" i="11"/>
  <c r="G32" i="11"/>
  <c r="E32" i="11"/>
  <c r="I31" i="11"/>
  <c r="G31" i="11"/>
  <c r="E31" i="11"/>
  <c r="I30" i="11"/>
  <c r="G30" i="11"/>
  <c r="E30" i="11"/>
  <c r="I29" i="11"/>
  <c r="G29" i="11"/>
  <c r="E29" i="11"/>
  <c r="I28" i="11"/>
  <c r="G28" i="11"/>
  <c r="E28" i="11"/>
  <c r="I27" i="11"/>
  <c r="G27" i="11"/>
  <c r="E27" i="11"/>
  <c r="I26" i="11"/>
  <c r="G26" i="11"/>
  <c r="E26" i="11"/>
  <c r="I24" i="11"/>
  <c r="G24" i="11"/>
  <c r="E24" i="11"/>
  <c r="I23" i="11"/>
  <c r="G23" i="11"/>
  <c r="E23" i="11"/>
  <c r="I22" i="11"/>
  <c r="G22" i="11"/>
  <c r="E22" i="11"/>
  <c r="I21" i="11"/>
  <c r="G21" i="11"/>
  <c r="E21" i="11"/>
  <c r="I19" i="11"/>
  <c r="G19" i="11"/>
  <c r="E19" i="11"/>
  <c r="I18" i="11"/>
  <c r="G18" i="11"/>
  <c r="E18" i="11"/>
  <c r="I17" i="11"/>
  <c r="G17" i="11"/>
  <c r="E17" i="11"/>
  <c r="I16" i="11"/>
  <c r="G16" i="11"/>
  <c r="E16" i="11"/>
  <c r="I15" i="11"/>
  <c r="G15" i="11"/>
  <c r="E15" i="11"/>
  <c r="I14" i="11"/>
  <c r="G14" i="11"/>
  <c r="E14" i="11"/>
  <c r="I13" i="11"/>
  <c r="G13" i="11"/>
  <c r="E13" i="11"/>
  <c r="I12" i="11"/>
  <c r="G12" i="11"/>
  <c r="E12" i="11"/>
  <c r="I10" i="11"/>
  <c r="G10" i="11"/>
  <c r="E10" i="11"/>
  <c r="I9" i="11"/>
  <c r="G9" i="11"/>
  <c r="E9" i="11"/>
  <c r="I8" i="11"/>
  <c r="G8" i="11"/>
  <c r="E8" i="11"/>
  <c r="I7" i="11"/>
  <c r="G7" i="11"/>
  <c r="E7" i="11"/>
  <c r="I6" i="11"/>
  <c r="G6" i="11"/>
  <c r="E6" i="11"/>
  <c r="I5" i="11"/>
  <c r="G5" i="11"/>
  <c r="E5" i="11"/>
  <c r="I3" i="11"/>
  <c r="G3" i="11"/>
  <c r="E3" i="11"/>
  <c r="K3" i="3"/>
  <c r="K4" i="3"/>
  <c r="K5" i="3"/>
  <c r="K6" i="3"/>
  <c r="K7" i="3"/>
  <c r="K8" i="3"/>
  <c r="K9" i="3"/>
  <c r="K10" i="3"/>
  <c r="K11" i="3"/>
  <c r="K12" i="3"/>
  <c r="K13" i="3"/>
  <c r="K2" i="3"/>
  <c r="H3" i="3"/>
  <c r="H4" i="3"/>
  <c r="H5" i="3"/>
  <c r="H6" i="3"/>
  <c r="H7" i="3"/>
  <c r="H8" i="3"/>
  <c r="H9" i="3"/>
  <c r="H10" i="3"/>
  <c r="H11" i="3"/>
  <c r="H12" i="3"/>
  <c r="H13" i="3"/>
  <c r="H2" i="3"/>
  <c r="E3" i="3"/>
  <c r="E4" i="3"/>
  <c r="E5" i="3"/>
  <c r="E6" i="3"/>
  <c r="E7" i="3"/>
  <c r="E8" i="3"/>
  <c r="E9" i="3"/>
  <c r="E10" i="3"/>
  <c r="E11" i="3"/>
  <c r="E12" i="3"/>
  <c r="E13" i="3"/>
  <c r="E2" i="3"/>
  <c r="D103" i="10"/>
  <c r="E103" i="10"/>
  <c r="F103" i="10"/>
  <c r="G103" i="10"/>
  <c r="H103" i="10"/>
  <c r="I103" i="10"/>
  <c r="J103" i="10"/>
  <c r="K103" i="10"/>
  <c r="L103" i="10"/>
  <c r="M103" i="10"/>
  <c r="N103" i="10"/>
  <c r="D104" i="10"/>
  <c r="E104" i="10"/>
  <c r="F104" i="10"/>
  <c r="G104" i="10"/>
  <c r="H104" i="10"/>
  <c r="I104" i="10"/>
  <c r="J104" i="10"/>
  <c r="K104" i="10"/>
  <c r="L104" i="10"/>
  <c r="M104" i="10"/>
  <c r="N104" i="10"/>
  <c r="C16" i="5" s="1"/>
  <c r="C17" i="5" s="1"/>
  <c r="D105" i="10"/>
  <c r="E105" i="10"/>
  <c r="F105" i="10"/>
  <c r="G105" i="10"/>
  <c r="H105" i="10"/>
  <c r="I105" i="10"/>
  <c r="J105" i="10"/>
  <c r="K105" i="10"/>
  <c r="L105" i="10"/>
  <c r="M105" i="10"/>
  <c r="N105" i="10"/>
  <c r="D106" i="10"/>
  <c r="E106" i="10"/>
  <c r="F106" i="10"/>
  <c r="G106" i="10"/>
  <c r="H106" i="10"/>
  <c r="I106" i="10"/>
  <c r="J106" i="10"/>
  <c r="K106" i="10"/>
  <c r="L106" i="10"/>
  <c r="M106" i="10"/>
  <c r="N106" i="10"/>
  <c r="C18" i="5" s="1"/>
  <c r="D107" i="10"/>
  <c r="E107" i="10"/>
  <c r="F107" i="10"/>
  <c r="G107" i="10"/>
  <c r="H107" i="10"/>
  <c r="I107" i="10"/>
  <c r="J107" i="10"/>
  <c r="K107" i="10"/>
  <c r="L107" i="10"/>
  <c r="M107" i="10"/>
  <c r="N107" i="10"/>
  <c r="D108" i="10"/>
  <c r="E108" i="10"/>
  <c r="F108" i="10"/>
  <c r="G108" i="10"/>
  <c r="H108" i="10"/>
  <c r="I108" i="10"/>
  <c r="J108" i="10"/>
  <c r="K108" i="10"/>
  <c r="L108" i="10"/>
  <c r="M108" i="10"/>
  <c r="N108" i="10"/>
  <c r="D109" i="10"/>
  <c r="E109" i="10"/>
  <c r="F109" i="10"/>
  <c r="G109" i="10"/>
  <c r="H109" i="10"/>
  <c r="I109" i="10"/>
  <c r="J109" i="10"/>
  <c r="K109" i="10"/>
  <c r="L109" i="10"/>
  <c r="M109" i="10"/>
  <c r="N109" i="10"/>
  <c r="D110" i="10"/>
  <c r="E110" i="10"/>
  <c r="F110" i="10"/>
  <c r="G110" i="10"/>
  <c r="H110" i="10"/>
  <c r="I110" i="10"/>
  <c r="J110" i="10"/>
  <c r="K110" i="10"/>
  <c r="L110" i="10"/>
  <c r="M110" i="10"/>
  <c r="N110" i="10"/>
  <c r="D111" i="10"/>
  <c r="E111" i="10"/>
  <c r="F111" i="10"/>
  <c r="G111" i="10"/>
  <c r="H111" i="10"/>
  <c r="I111" i="10"/>
  <c r="J111" i="10"/>
  <c r="K111" i="10"/>
  <c r="L111" i="10"/>
  <c r="M111" i="10"/>
  <c r="N111" i="10"/>
  <c r="D112" i="10"/>
  <c r="E112" i="10"/>
  <c r="F112" i="10"/>
  <c r="G112" i="10"/>
  <c r="H112" i="10"/>
  <c r="I112" i="10"/>
  <c r="J112" i="10"/>
  <c r="K112" i="10"/>
  <c r="L112" i="10"/>
  <c r="M112" i="10"/>
  <c r="N112" i="10"/>
  <c r="D113" i="10"/>
  <c r="E113" i="10"/>
  <c r="F113" i="10"/>
  <c r="G113" i="10"/>
  <c r="H113" i="10"/>
  <c r="I113" i="10"/>
  <c r="J113" i="10"/>
  <c r="K113" i="10"/>
  <c r="L113" i="10"/>
  <c r="M113" i="10"/>
  <c r="N113" i="10"/>
  <c r="D114" i="10"/>
  <c r="E114" i="10"/>
  <c r="F114" i="10"/>
  <c r="G114" i="10"/>
  <c r="H114" i="10"/>
  <c r="I114" i="10"/>
  <c r="J114" i="10"/>
  <c r="K114" i="10"/>
  <c r="L114" i="10"/>
  <c r="M114" i="10"/>
  <c r="N114" i="10"/>
  <c r="C113" i="10"/>
  <c r="C104" i="10"/>
  <c r="C105" i="10"/>
  <c r="C106" i="10"/>
  <c r="C107" i="10"/>
  <c r="C108" i="10"/>
  <c r="C109" i="10"/>
  <c r="C110" i="10"/>
  <c r="C111" i="10"/>
  <c r="C112" i="10"/>
  <c r="C114" i="10"/>
  <c r="C103" i="10"/>
  <c r="C84" i="5" l="1"/>
  <c r="C85" i="5" s="1"/>
  <c r="C50" i="5"/>
  <c r="C51" i="5" s="1"/>
  <c r="T57" i="1"/>
  <c r="L57" i="1"/>
  <c r="D57" i="1"/>
  <c r="S57" i="1"/>
  <c r="K57" i="1"/>
  <c r="C57" i="1"/>
  <c r="D84" i="5" s="1"/>
  <c r="D85" i="5" s="1"/>
  <c r="R57" i="1"/>
  <c r="J57" i="1"/>
  <c r="Q57" i="1"/>
  <c r="I57" i="1"/>
  <c r="P57" i="1"/>
  <c r="H57" i="1"/>
  <c r="C41" i="1"/>
  <c r="D41" i="1" s="1"/>
  <c r="E41" i="1" s="1"/>
  <c r="F41" i="1" s="1"/>
  <c r="G41" i="1" s="1"/>
  <c r="H41" i="1" s="1"/>
  <c r="I41" i="1" s="1"/>
  <c r="J41" i="1" s="1"/>
  <c r="K41" i="1" s="1"/>
  <c r="L41" i="1" s="1"/>
  <c r="M41" i="1" s="1"/>
  <c r="N41" i="1" s="1"/>
  <c r="O41" i="1" s="1"/>
  <c r="P41" i="1" s="1"/>
  <c r="Q41" i="1" s="1"/>
  <c r="R41" i="1" s="1"/>
  <c r="S41" i="1" s="1"/>
  <c r="T41" i="1" s="1"/>
  <c r="U41" i="1" s="1"/>
  <c r="V41" i="1" s="1"/>
  <c r="O57" i="1"/>
  <c r="G57" i="1"/>
  <c r="V57" i="1"/>
  <c r="N57" i="1"/>
  <c r="F57" i="1"/>
  <c r="U57" i="1"/>
  <c r="M57" i="1"/>
  <c r="E57" i="1"/>
  <c r="C54" i="5"/>
  <c r="C88" i="5"/>
  <c r="C20" i="5"/>
  <c r="K71" i="10"/>
  <c r="K72" i="10" s="1"/>
  <c r="C58" i="1"/>
  <c r="D58" i="1" s="1"/>
  <c r="E58" i="1" s="1"/>
  <c r="F58" i="1" s="1"/>
  <c r="G58" i="1" s="1"/>
  <c r="H58" i="1" s="1"/>
  <c r="I58" i="1" s="1"/>
  <c r="J58" i="1" s="1"/>
  <c r="K58" i="1" s="1"/>
  <c r="L58" i="1" s="1"/>
  <c r="M58" i="1" s="1"/>
  <c r="N58" i="1" s="1"/>
  <c r="O58" i="1" s="1"/>
  <c r="P58" i="1" s="1"/>
  <c r="Q58" i="1" s="1"/>
  <c r="R58" i="1" s="1"/>
  <c r="S58" i="1" s="1"/>
  <c r="T58" i="1" s="1"/>
  <c r="U58" i="1" s="1"/>
  <c r="V58" i="1" s="1"/>
  <c r="C42" i="1"/>
  <c r="C86" i="5"/>
  <c r="C52" i="5"/>
  <c r="D91" i="5"/>
  <c r="D57" i="5"/>
  <c r="C19" i="5"/>
  <c r="C21" i="5" s="1"/>
  <c r="F44" i="5"/>
  <c r="E48" i="5"/>
  <c r="E45" i="5"/>
  <c r="E23" i="5"/>
  <c r="D23" i="5"/>
  <c r="D18" i="5"/>
  <c r="E82" i="5"/>
  <c r="F78" i="5"/>
  <c r="E79" i="5"/>
  <c r="E10" i="5"/>
  <c r="E11" i="5" s="1"/>
  <c r="F7" i="5"/>
  <c r="F14" i="5" s="1"/>
  <c r="D47" i="1"/>
  <c r="D63" i="1"/>
  <c r="C47" i="1"/>
  <c r="C48" i="1" s="1"/>
  <c r="D58" i="5" s="1"/>
  <c r="C63" i="1"/>
  <c r="C64" i="1" s="1"/>
  <c r="D92" i="5" s="1"/>
  <c r="D31" i="1"/>
  <c r="C31" i="1"/>
  <c r="C32" i="1" s="1"/>
  <c r="N71" i="10"/>
  <c r="F71" i="10"/>
  <c r="F72" i="10" s="1"/>
  <c r="P114" i="10"/>
  <c r="P110" i="10"/>
  <c r="C26" i="1"/>
  <c r="H25" i="1"/>
  <c r="P25" i="1"/>
  <c r="R25" i="1"/>
  <c r="K25" i="1"/>
  <c r="S25" i="1"/>
  <c r="D25" i="1"/>
  <c r="E16" i="5" s="1"/>
  <c r="E17" i="5" s="1"/>
  <c r="L25" i="1"/>
  <c r="T25" i="1"/>
  <c r="V25" i="1"/>
  <c r="I25" i="1"/>
  <c r="Q25" i="1"/>
  <c r="J25" i="1"/>
  <c r="N25" i="1"/>
  <c r="O25" i="1"/>
  <c r="C25" i="1"/>
  <c r="D16" i="5" s="1"/>
  <c r="E25" i="1"/>
  <c r="M25" i="1"/>
  <c r="U25" i="1"/>
  <c r="F25" i="1"/>
  <c r="G25" i="1"/>
  <c r="P108" i="10"/>
  <c r="P103" i="10"/>
  <c r="P106" i="10"/>
  <c r="P105" i="10"/>
  <c r="P112" i="10"/>
  <c r="P104" i="10"/>
  <c r="P111" i="10"/>
  <c r="P113" i="10"/>
  <c r="P109" i="10"/>
  <c r="P107" i="10"/>
  <c r="G71" i="10"/>
  <c r="G72" i="10" s="1"/>
  <c r="J71" i="10"/>
  <c r="J72" i="10" s="1"/>
  <c r="H71" i="10"/>
  <c r="H72" i="10" s="1"/>
  <c r="D3" i="1"/>
  <c r="Q68" i="11"/>
  <c r="N58" i="11"/>
  <c r="N68" i="11"/>
  <c r="D48" i="1" l="1"/>
  <c r="V26" i="1"/>
  <c r="V42" i="1"/>
  <c r="C27" i="5"/>
  <c r="D42" i="1"/>
  <c r="E42" i="1" s="1"/>
  <c r="F42" i="1" s="1"/>
  <c r="G42" i="1" s="1"/>
  <c r="H42" i="1" s="1"/>
  <c r="I42" i="1" s="1"/>
  <c r="J42" i="1" s="1"/>
  <c r="K42" i="1" s="1"/>
  <c r="L42" i="1" s="1"/>
  <c r="M42" i="1" s="1"/>
  <c r="N42" i="1" s="1"/>
  <c r="O42" i="1" s="1"/>
  <c r="P42" i="1" s="1"/>
  <c r="Q42" i="1" s="1"/>
  <c r="R42" i="1" s="1"/>
  <c r="S42" i="1" s="1"/>
  <c r="T42" i="1" s="1"/>
  <c r="U42" i="1" s="1"/>
  <c r="T60" i="1"/>
  <c r="U88" i="5" s="1"/>
  <c r="L60" i="1"/>
  <c r="M88" i="5" s="1"/>
  <c r="Q44" i="1"/>
  <c r="R54" i="5" s="1"/>
  <c r="I44" i="1"/>
  <c r="J54" i="5" s="1"/>
  <c r="J28" i="1"/>
  <c r="K20" i="5" s="1"/>
  <c r="R28" i="1"/>
  <c r="S20" i="5" s="1"/>
  <c r="N28" i="1"/>
  <c r="O20" i="5" s="1"/>
  <c r="V28" i="1"/>
  <c r="W20" i="5" s="1"/>
  <c r="S60" i="1"/>
  <c r="T88" i="5" s="1"/>
  <c r="K60" i="1"/>
  <c r="L88" i="5" s="1"/>
  <c r="P44" i="1"/>
  <c r="Q54" i="5" s="1"/>
  <c r="H44" i="1"/>
  <c r="I54" i="5" s="1"/>
  <c r="K28" i="1"/>
  <c r="L20" i="5" s="1"/>
  <c r="S28" i="1"/>
  <c r="T20" i="5" s="1"/>
  <c r="J60" i="1"/>
  <c r="K88" i="5" s="1"/>
  <c r="L28" i="1"/>
  <c r="M20" i="5" s="1"/>
  <c r="U28" i="1"/>
  <c r="V20" i="5" s="1"/>
  <c r="Q28" i="1"/>
  <c r="R20" i="5" s="1"/>
  <c r="R60" i="1"/>
  <c r="S88" i="5" s="1"/>
  <c r="O44" i="1"/>
  <c r="P54" i="5" s="1"/>
  <c r="G44" i="1"/>
  <c r="H54" i="5" s="1"/>
  <c r="T28" i="1"/>
  <c r="U20" i="5" s="1"/>
  <c r="Q60" i="1"/>
  <c r="R88" i="5" s="1"/>
  <c r="I60" i="1"/>
  <c r="J88" i="5" s="1"/>
  <c r="V44" i="1"/>
  <c r="W54" i="5" s="1"/>
  <c r="N44" i="1"/>
  <c r="O54" i="5" s="1"/>
  <c r="M28" i="1"/>
  <c r="N20" i="5" s="1"/>
  <c r="P60" i="1"/>
  <c r="Q88" i="5" s="1"/>
  <c r="H60" i="1"/>
  <c r="I88" i="5" s="1"/>
  <c r="U44" i="1"/>
  <c r="V54" i="5" s="1"/>
  <c r="M44" i="1"/>
  <c r="N54" i="5" s="1"/>
  <c r="O60" i="1"/>
  <c r="P88" i="5" s="1"/>
  <c r="G60" i="1"/>
  <c r="H88" i="5" s="1"/>
  <c r="T44" i="1"/>
  <c r="U54" i="5" s="1"/>
  <c r="L44" i="1"/>
  <c r="M54" i="5" s="1"/>
  <c r="O28" i="1"/>
  <c r="P20" i="5" s="1"/>
  <c r="G28" i="1"/>
  <c r="H20" i="5" s="1"/>
  <c r="V60" i="1"/>
  <c r="W88" i="5" s="1"/>
  <c r="N60" i="1"/>
  <c r="O88" i="5" s="1"/>
  <c r="S44" i="1"/>
  <c r="T54" i="5" s="1"/>
  <c r="K44" i="1"/>
  <c r="L54" i="5" s="1"/>
  <c r="H28" i="1"/>
  <c r="I20" i="5" s="1"/>
  <c r="P28" i="1"/>
  <c r="Q20" i="5" s="1"/>
  <c r="U60" i="1"/>
  <c r="V88" i="5" s="1"/>
  <c r="M60" i="1"/>
  <c r="N88" i="5" s="1"/>
  <c r="R44" i="1"/>
  <c r="S54" i="5" s="1"/>
  <c r="J44" i="1"/>
  <c r="K54" i="5" s="1"/>
  <c r="I28" i="1"/>
  <c r="J20" i="5" s="1"/>
  <c r="D50" i="5"/>
  <c r="D51" i="5" s="1"/>
  <c r="D86" i="5"/>
  <c r="C53" i="5"/>
  <c r="C55" i="5" s="1"/>
  <c r="C61" i="5" s="1"/>
  <c r="C92" i="5"/>
  <c r="C58" i="5"/>
  <c r="C24" i="5"/>
  <c r="N72" i="10"/>
  <c r="P72" i="10" s="1"/>
  <c r="D52" i="5"/>
  <c r="C87" i="5"/>
  <c r="C89" i="5" s="1"/>
  <c r="C95" i="5" s="1"/>
  <c r="D53" i="5"/>
  <c r="D55" i="5" s="1"/>
  <c r="D87" i="5"/>
  <c r="D89" i="5" s="1"/>
  <c r="E91" i="5"/>
  <c r="E86" i="5"/>
  <c r="E84" i="5"/>
  <c r="E85" i="5" s="1"/>
  <c r="E57" i="5"/>
  <c r="E52" i="5"/>
  <c r="E50" i="5"/>
  <c r="E51" i="5" s="1"/>
  <c r="E19" i="5"/>
  <c r="E21" i="5" s="1"/>
  <c r="F16" i="5"/>
  <c r="F17" i="5" s="1"/>
  <c r="F23" i="5"/>
  <c r="G44" i="5"/>
  <c r="F48" i="5"/>
  <c r="F45" i="5"/>
  <c r="F82" i="5"/>
  <c r="F79" i="5"/>
  <c r="G78" i="5"/>
  <c r="D17" i="5"/>
  <c r="D19" i="5" s="1"/>
  <c r="D21" i="5" s="1"/>
  <c r="D27" i="5" s="1"/>
  <c r="D24" i="5"/>
  <c r="F10" i="5"/>
  <c r="F11" i="5" s="1"/>
  <c r="G7" i="5"/>
  <c r="G14" i="5" s="1"/>
  <c r="E47" i="1"/>
  <c r="E63" i="1"/>
  <c r="E64" i="1" s="1"/>
  <c r="F92" i="5" s="1"/>
  <c r="D64" i="1"/>
  <c r="E92" i="5" s="1"/>
  <c r="E58" i="5"/>
  <c r="D32" i="1"/>
  <c r="E31" i="1"/>
  <c r="E32" i="1" s="1"/>
  <c r="P71" i="10"/>
  <c r="D26" i="1"/>
  <c r="E18" i="5" s="1"/>
  <c r="D95" i="5" l="1"/>
  <c r="D96" i="5" s="1"/>
  <c r="D61" i="5"/>
  <c r="D62" i="5" s="1"/>
  <c r="E48" i="1"/>
  <c r="F58" i="5" s="1"/>
  <c r="E87" i="5"/>
  <c r="E89" i="5" s="1"/>
  <c r="E95" i="5" s="1"/>
  <c r="E96" i="5" s="1"/>
  <c r="E53" i="5"/>
  <c r="E55" i="5" s="1"/>
  <c r="E61" i="5" s="1"/>
  <c r="F91" i="5"/>
  <c r="F86" i="5"/>
  <c r="F84" i="5"/>
  <c r="F85" i="5" s="1"/>
  <c r="F50" i="5"/>
  <c r="F51" i="5" s="1"/>
  <c r="F52" i="5"/>
  <c r="F57" i="5"/>
  <c r="D28" i="5"/>
  <c r="F24" i="5"/>
  <c r="E24" i="5"/>
  <c r="G79" i="5"/>
  <c r="H78" i="5"/>
  <c r="G82" i="5"/>
  <c r="H44" i="5"/>
  <c r="G48" i="5"/>
  <c r="G45" i="5"/>
  <c r="G16" i="5"/>
  <c r="G17" i="5" s="1"/>
  <c r="G23" i="5"/>
  <c r="G10" i="5"/>
  <c r="G11" i="5" s="1"/>
  <c r="H7" i="5"/>
  <c r="H14" i="5" s="1"/>
  <c r="F47" i="1"/>
  <c r="F63" i="1"/>
  <c r="F64" i="1" s="1"/>
  <c r="G92" i="5" s="1"/>
  <c r="F31" i="1"/>
  <c r="F32" i="1" s="1"/>
  <c r="E26" i="1"/>
  <c r="F18" i="5" s="1"/>
  <c r="F19" i="5" s="1"/>
  <c r="F21" i="5" s="1"/>
  <c r="F27" i="5" l="1"/>
  <c r="F28" i="5" s="1"/>
  <c r="E27" i="5"/>
  <c r="E28" i="5" s="1"/>
  <c r="F48" i="1"/>
  <c r="G58" i="5" s="1"/>
  <c r="E62" i="5"/>
  <c r="F87" i="5"/>
  <c r="F89" i="5" s="1"/>
  <c r="G86" i="5"/>
  <c r="G91" i="5"/>
  <c r="G84" i="5"/>
  <c r="G85" i="5" s="1"/>
  <c r="F53" i="5"/>
  <c r="F55" i="5" s="1"/>
  <c r="F61" i="5" s="1"/>
  <c r="G50" i="5"/>
  <c r="G51" i="5" s="1"/>
  <c r="G57" i="5"/>
  <c r="G52" i="5"/>
  <c r="G24" i="5"/>
  <c r="H48" i="5"/>
  <c r="H45" i="5"/>
  <c r="I44" i="5"/>
  <c r="H16" i="5"/>
  <c r="H17" i="5" s="1"/>
  <c r="H23" i="5"/>
  <c r="H82" i="5"/>
  <c r="H79" i="5"/>
  <c r="I78" i="5"/>
  <c r="H10" i="5"/>
  <c r="H11" i="5" s="1"/>
  <c r="I7" i="5"/>
  <c r="I14" i="5" s="1"/>
  <c r="G47" i="1"/>
  <c r="G48" i="1" s="1"/>
  <c r="H58" i="5" s="1"/>
  <c r="G63" i="1"/>
  <c r="G64" i="1" s="1"/>
  <c r="H92" i="5" s="1"/>
  <c r="G31" i="1"/>
  <c r="G32" i="1" s="1"/>
  <c r="F26" i="1"/>
  <c r="G18" i="5" s="1"/>
  <c r="G19" i="5" s="1"/>
  <c r="G21" i="5" s="1"/>
  <c r="G27" i="5" l="1"/>
  <c r="G28" i="5" s="1"/>
  <c r="F95" i="5"/>
  <c r="F96" i="5" s="1"/>
  <c r="F62" i="5"/>
  <c r="G87" i="5"/>
  <c r="G89" i="5" s="1"/>
  <c r="G95" i="5" s="1"/>
  <c r="G96" i="5" s="1"/>
  <c r="H91" i="5"/>
  <c r="H86" i="5"/>
  <c r="H84" i="5"/>
  <c r="H85" i="5" s="1"/>
  <c r="G53" i="5"/>
  <c r="G55" i="5" s="1"/>
  <c r="H50" i="5"/>
  <c r="H51" i="5" s="1"/>
  <c r="H52" i="5"/>
  <c r="H57" i="5"/>
  <c r="I82" i="5"/>
  <c r="I79" i="5"/>
  <c r="J78" i="5"/>
  <c r="I23" i="5"/>
  <c r="I16" i="5"/>
  <c r="I17" i="5" s="1"/>
  <c r="H24" i="5"/>
  <c r="I48" i="5"/>
  <c r="I45" i="5"/>
  <c r="J44" i="5"/>
  <c r="I10" i="5"/>
  <c r="I11" i="5" s="1"/>
  <c r="J7" i="5"/>
  <c r="J14" i="5" s="1"/>
  <c r="H63" i="1"/>
  <c r="H64" i="1" s="1"/>
  <c r="I92" i="5" s="1"/>
  <c r="H47" i="1"/>
  <c r="H48" i="1" s="1"/>
  <c r="I58" i="5" s="1"/>
  <c r="H31" i="1"/>
  <c r="H32" i="1" s="1"/>
  <c r="G26" i="1"/>
  <c r="H18" i="5" s="1"/>
  <c r="H19" i="5" s="1"/>
  <c r="H21" i="5" s="1"/>
  <c r="H27" i="5" s="1"/>
  <c r="G61" i="5" l="1"/>
  <c r="G62" i="5" s="1"/>
  <c r="H87" i="5"/>
  <c r="H89" i="5" s="1"/>
  <c r="H95" i="5" s="1"/>
  <c r="I84" i="5"/>
  <c r="I85" i="5" s="1"/>
  <c r="I91" i="5"/>
  <c r="I86" i="5"/>
  <c r="I50" i="5"/>
  <c r="I51" i="5" s="1"/>
  <c r="I57" i="5"/>
  <c r="I52" i="5"/>
  <c r="H53" i="5"/>
  <c r="H55" i="5" s="1"/>
  <c r="H96" i="5"/>
  <c r="K78" i="5"/>
  <c r="J79" i="5"/>
  <c r="J82" i="5"/>
  <c r="J23" i="5"/>
  <c r="J16" i="5"/>
  <c r="J17" i="5" s="1"/>
  <c r="H28" i="5"/>
  <c r="I24" i="5"/>
  <c r="K44" i="5"/>
  <c r="J48" i="5"/>
  <c r="J45" i="5"/>
  <c r="J10" i="5"/>
  <c r="J11" i="5" s="1"/>
  <c r="K7" i="5"/>
  <c r="K14" i="5" s="1"/>
  <c r="I47" i="1"/>
  <c r="I48" i="1" s="1"/>
  <c r="J58" i="5" s="1"/>
  <c r="I63" i="1"/>
  <c r="I64" i="1" s="1"/>
  <c r="J92" i="5" s="1"/>
  <c r="I31" i="1"/>
  <c r="I32" i="1" s="1"/>
  <c r="H26" i="1"/>
  <c r="I18" i="5" s="1"/>
  <c r="I19" i="5" s="1"/>
  <c r="I21" i="5" s="1"/>
  <c r="I27" i="5" s="1"/>
  <c r="I28" i="5" l="1"/>
  <c r="H61" i="5"/>
  <c r="H62" i="5" s="1"/>
  <c r="I87" i="5"/>
  <c r="I89" i="5" s="1"/>
  <c r="J86" i="5"/>
  <c r="J84" i="5"/>
  <c r="J85" i="5" s="1"/>
  <c r="J91" i="5"/>
  <c r="J50" i="5"/>
  <c r="J51" i="5" s="1"/>
  <c r="J57" i="5"/>
  <c r="J52" i="5"/>
  <c r="I53" i="5"/>
  <c r="I55" i="5" s="1"/>
  <c r="K23" i="5"/>
  <c r="K16" i="5"/>
  <c r="K17" i="5" s="1"/>
  <c r="L7" i="5"/>
  <c r="L14" i="5" s="1"/>
  <c r="K45" i="5"/>
  <c r="K48" i="5"/>
  <c r="L44" i="5"/>
  <c r="L78" i="5"/>
  <c r="K79" i="5"/>
  <c r="K82" i="5"/>
  <c r="J24" i="5"/>
  <c r="L10" i="5"/>
  <c r="K10" i="5"/>
  <c r="K11" i="5" s="1"/>
  <c r="J47" i="1"/>
  <c r="J48" i="1" s="1"/>
  <c r="K58" i="5" s="1"/>
  <c r="J63" i="1"/>
  <c r="J64" i="1" s="1"/>
  <c r="K92" i="5" s="1"/>
  <c r="J31" i="1"/>
  <c r="J32" i="1" s="1"/>
  <c r="I26" i="1"/>
  <c r="J18" i="5" s="1"/>
  <c r="J19" i="5" s="1"/>
  <c r="J21" i="5" s="1"/>
  <c r="J27" i="5" l="1"/>
  <c r="I61" i="5"/>
  <c r="I62" i="5" s="1"/>
  <c r="I95" i="5"/>
  <c r="I96" i="5" s="1"/>
  <c r="J87" i="5"/>
  <c r="J89" i="5" s="1"/>
  <c r="J95" i="5" s="1"/>
  <c r="J96" i="5" s="1"/>
  <c r="M7" i="5"/>
  <c r="M14" i="5" s="1"/>
  <c r="M23" i="5" s="1"/>
  <c r="K86" i="5"/>
  <c r="K84" i="5"/>
  <c r="K85" i="5" s="1"/>
  <c r="K91" i="5"/>
  <c r="K52" i="5"/>
  <c r="K50" i="5"/>
  <c r="K51" i="5" s="1"/>
  <c r="K57" i="5"/>
  <c r="J53" i="5"/>
  <c r="J55" i="5" s="1"/>
  <c r="J28" i="5"/>
  <c r="L48" i="5"/>
  <c r="M44" i="5"/>
  <c r="L45" i="5"/>
  <c r="L23" i="5"/>
  <c r="L16" i="5"/>
  <c r="L17" i="5" s="1"/>
  <c r="K24" i="5"/>
  <c r="L79" i="5"/>
  <c r="M78" i="5"/>
  <c r="L82" i="5"/>
  <c r="L11" i="5"/>
  <c r="M10" i="5"/>
  <c r="M11" i="5" s="1"/>
  <c r="K63" i="1"/>
  <c r="K47" i="1"/>
  <c r="K31" i="1"/>
  <c r="K32" i="1" s="1"/>
  <c r="J26" i="1"/>
  <c r="K18" i="5" s="1"/>
  <c r="K19" i="5" s="1"/>
  <c r="K21" i="5" s="1"/>
  <c r="K27" i="5" l="1"/>
  <c r="J61" i="5"/>
  <c r="J62" i="5" s="1"/>
  <c r="N7" i="5"/>
  <c r="N14" i="5" s="1"/>
  <c r="N16" i="5" s="1"/>
  <c r="N17" i="5" s="1"/>
  <c r="M16" i="5"/>
  <c r="M17" i="5" s="1"/>
  <c r="K28" i="5"/>
  <c r="K87" i="5"/>
  <c r="K89" i="5" s="1"/>
  <c r="K95" i="5" s="1"/>
  <c r="K96" i="5" s="1"/>
  <c r="K53" i="5"/>
  <c r="K55" i="5" s="1"/>
  <c r="K61" i="5" s="1"/>
  <c r="K62" i="5" s="1"/>
  <c r="L91" i="5"/>
  <c r="L86" i="5"/>
  <c r="L84" i="5"/>
  <c r="L85" i="5" s="1"/>
  <c r="L57" i="5"/>
  <c r="L52" i="5"/>
  <c r="L50" i="5"/>
  <c r="L51" i="5" s="1"/>
  <c r="N23" i="5"/>
  <c r="N44" i="5"/>
  <c r="M48" i="5"/>
  <c r="M45" i="5"/>
  <c r="M79" i="5"/>
  <c r="M82" i="5"/>
  <c r="N78" i="5"/>
  <c r="L24" i="5"/>
  <c r="N10" i="5"/>
  <c r="N11" i="5" s="1"/>
  <c r="K48" i="1"/>
  <c r="L58" i="5" s="1"/>
  <c r="L47" i="1"/>
  <c r="L48" i="1" s="1"/>
  <c r="M58" i="5" s="1"/>
  <c r="L63" i="1"/>
  <c r="L64" i="1" s="1"/>
  <c r="M92" i="5" s="1"/>
  <c r="K64" i="1"/>
  <c r="L92" i="5" s="1"/>
  <c r="L31" i="1"/>
  <c r="L32" i="1" s="1"/>
  <c r="K26" i="1"/>
  <c r="L18" i="5" s="1"/>
  <c r="L19" i="5" s="1"/>
  <c r="L21" i="5" s="1"/>
  <c r="O7" i="5"/>
  <c r="O14" i="5" s="1"/>
  <c r="L27" i="5" l="1"/>
  <c r="L28" i="5" s="1"/>
  <c r="L53" i="5"/>
  <c r="L55" i="5" s="1"/>
  <c r="L61" i="5" s="1"/>
  <c r="L62" i="5" s="1"/>
  <c r="L87" i="5"/>
  <c r="L89" i="5" s="1"/>
  <c r="M84" i="5"/>
  <c r="M85" i="5" s="1"/>
  <c r="M91" i="5"/>
  <c r="M86" i="5"/>
  <c r="M57" i="5"/>
  <c r="M52" i="5"/>
  <c r="M50" i="5"/>
  <c r="M51" i="5" s="1"/>
  <c r="N82" i="5"/>
  <c r="N79" i="5"/>
  <c r="O78" i="5"/>
  <c r="M24" i="5"/>
  <c r="O16" i="5"/>
  <c r="O17" i="5" s="1"/>
  <c r="O23" i="5"/>
  <c r="N48" i="5"/>
  <c r="N45" i="5"/>
  <c r="O44" i="5"/>
  <c r="O10" i="5"/>
  <c r="O11" i="5" s="1"/>
  <c r="M47" i="1"/>
  <c r="M48" i="1" s="1"/>
  <c r="N58" i="5" s="1"/>
  <c r="M63" i="1"/>
  <c r="M64" i="1" s="1"/>
  <c r="N92" i="5" s="1"/>
  <c r="M31" i="1"/>
  <c r="M32" i="1" s="1"/>
  <c r="L26" i="1"/>
  <c r="M18" i="5" s="1"/>
  <c r="M19" i="5" s="1"/>
  <c r="M21" i="5" s="1"/>
  <c r="M27" i="5" s="1"/>
  <c r="P7" i="5"/>
  <c r="P14" i="5" s="1"/>
  <c r="M28" i="5" l="1"/>
  <c r="L95" i="5"/>
  <c r="L96" i="5" s="1"/>
  <c r="M53" i="5"/>
  <c r="M55" i="5" s="1"/>
  <c r="N84" i="5"/>
  <c r="N91" i="5"/>
  <c r="N86" i="5"/>
  <c r="N50" i="5"/>
  <c r="N51" i="5" s="1"/>
  <c r="N57" i="5"/>
  <c r="N52" i="5"/>
  <c r="M87" i="5"/>
  <c r="M89" i="5" s="1"/>
  <c r="O45" i="5"/>
  <c r="P44" i="5"/>
  <c r="O48" i="5"/>
  <c r="N85" i="5"/>
  <c r="N24" i="5"/>
  <c r="O82" i="5"/>
  <c r="P78" i="5"/>
  <c r="O79" i="5"/>
  <c r="P16" i="5"/>
  <c r="P17" i="5" s="1"/>
  <c r="P23" i="5"/>
  <c r="P10" i="5"/>
  <c r="P11" i="5" s="1"/>
  <c r="N47" i="1"/>
  <c r="N48" i="1" s="1"/>
  <c r="O58" i="5" s="1"/>
  <c r="N63" i="1"/>
  <c r="N64" i="1" s="1"/>
  <c r="O92" i="5" s="1"/>
  <c r="N31" i="1"/>
  <c r="N32" i="1" s="1"/>
  <c r="M26" i="1"/>
  <c r="N18" i="5" s="1"/>
  <c r="N19" i="5" s="1"/>
  <c r="N21" i="5" s="1"/>
  <c r="Q7" i="5"/>
  <c r="Q14" i="5" s="1"/>
  <c r="N27" i="5" l="1"/>
  <c r="M61" i="5"/>
  <c r="M62" i="5" s="1"/>
  <c r="N28" i="5"/>
  <c r="M95" i="5"/>
  <c r="M96" i="5" s="1"/>
  <c r="N87" i="5"/>
  <c r="N89" i="5" s="1"/>
  <c r="O91" i="5"/>
  <c r="O86" i="5"/>
  <c r="O84" i="5"/>
  <c r="O85" i="5" s="1"/>
  <c r="O57" i="5"/>
  <c r="O52" i="5"/>
  <c r="O50" i="5"/>
  <c r="O51" i="5" s="1"/>
  <c r="N53" i="5"/>
  <c r="N55" i="5" s="1"/>
  <c r="Q78" i="5"/>
  <c r="P79" i="5"/>
  <c r="P82" i="5"/>
  <c r="Q23" i="5"/>
  <c r="Q16" i="5"/>
  <c r="Q17" i="5" s="1"/>
  <c r="P45" i="5"/>
  <c r="Q44" i="5"/>
  <c r="P48" i="5"/>
  <c r="O24" i="5"/>
  <c r="Q10" i="5"/>
  <c r="Q11" i="5" s="1"/>
  <c r="O47" i="1"/>
  <c r="O48" i="1" s="1"/>
  <c r="P58" i="5" s="1"/>
  <c r="O63" i="1"/>
  <c r="O64" i="1" s="1"/>
  <c r="P92" i="5" s="1"/>
  <c r="O31" i="1"/>
  <c r="O32" i="1" s="1"/>
  <c r="N26" i="1"/>
  <c r="O18" i="5" s="1"/>
  <c r="O19" i="5" s="1"/>
  <c r="O21" i="5" s="1"/>
  <c r="R7" i="5"/>
  <c r="R14" i="5" s="1"/>
  <c r="O27" i="5" l="1"/>
  <c r="O28" i="5" s="1"/>
  <c r="N95" i="5"/>
  <c r="N96" i="5" s="1"/>
  <c r="N61" i="5"/>
  <c r="N62" i="5" s="1"/>
  <c r="P86" i="5"/>
  <c r="P84" i="5"/>
  <c r="P85" i="5" s="1"/>
  <c r="P91" i="5"/>
  <c r="O53" i="5"/>
  <c r="O55" i="5" s="1"/>
  <c r="P57" i="5"/>
  <c r="P50" i="5"/>
  <c r="P51" i="5" s="1"/>
  <c r="P52" i="5"/>
  <c r="O87" i="5"/>
  <c r="O89" i="5" s="1"/>
  <c r="P24" i="5"/>
  <c r="R44" i="5"/>
  <c r="Q45" i="5"/>
  <c r="Q48" i="5"/>
  <c r="Q82" i="5"/>
  <c r="R78" i="5"/>
  <c r="Q79" i="5"/>
  <c r="R16" i="5"/>
  <c r="R17" i="5" s="1"/>
  <c r="R23" i="5"/>
  <c r="R10" i="5"/>
  <c r="R11" i="5" s="1"/>
  <c r="P63" i="1"/>
  <c r="P64" i="1" s="1"/>
  <c r="Q92" i="5" s="1"/>
  <c r="P47" i="1"/>
  <c r="P31" i="1"/>
  <c r="P32" i="1" s="1"/>
  <c r="O26" i="1"/>
  <c r="P18" i="5" s="1"/>
  <c r="P19" i="5" s="1"/>
  <c r="P21" i="5" s="1"/>
  <c r="S7" i="5"/>
  <c r="S14" i="5" s="1"/>
  <c r="P27" i="5" l="1"/>
  <c r="O95" i="5"/>
  <c r="O96" i="5" s="1"/>
  <c r="P28" i="5"/>
  <c r="O61" i="5"/>
  <c r="O62" i="5" s="1"/>
  <c r="Q84" i="5"/>
  <c r="Q91" i="5"/>
  <c r="Q86" i="5"/>
  <c r="P53" i="5"/>
  <c r="P55" i="5" s="1"/>
  <c r="Q57" i="5"/>
  <c r="Q52" i="5"/>
  <c r="Q50" i="5"/>
  <c r="Q51" i="5" s="1"/>
  <c r="Q24" i="5"/>
  <c r="R79" i="5"/>
  <c r="R82" i="5"/>
  <c r="S78" i="5"/>
  <c r="S44" i="5"/>
  <c r="R48" i="5"/>
  <c r="R45" i="5"/>
  <c r="S23" i="5"/>
  <c r="S16" i="5"/>
  <c r="S17" i="5" s="1"/>
  <c r="Q85" i="5"/>
  <c r="P87" i="5"/>
  <c r="P89" i="5" s="1"/>
  <c r="S10" i="5"/>
  <c r="S11" i="5" s="1"/>
  <c r="Q63" i="1"/>
  <c r="Q64" i="1" s="1"/>
  <c r="R92" i="5" s="1"/>
  <c r="Q47" i="1"/>
  <c r="Q48" i="1" s="1"/>
  <c r="R58" i="5" s="1"/>
  <c r="P48" i="1"/>
  <c r="Q58" i="5" s="1"/>
  <c r="Q31" i="1"/>
  <c r="Q32" i="1" s="1"/>
  <c r="P26" i="1"/>
  <c r="Q18" i="5" s="1"/>
  <c r="Q19" i="5" s="1"/>
  <c r="Q21" i="5" s="1"/>
  <c r="T7" i="5"/>
  <c r="T14" i="5" s="1"/>
  <c r="Q27" i="5" l="1"/>
  <c r="Q28" i="5"/>
  <c r="P95" i="5"/>
  <c r="P96" i="5" s="1"/>
  <c r="P61" i="5"/>
  <c r="P62" i="5" s="1"/>
  <c r="Q53" i="5"/>
  <c r="Q55" i="5" s="1"/>
  <c r="R91" i="5"/>
  <c r="R84" i="5"/>
  <c r="R86" i="5"/>
  <c r="R52" i="5"/>
  <c r="R57" i="5"/>
  <c r="R50" i="5"/>
  <c r="R51" i="5" s="1"/>
  <c r="Q87" i="5"/>
  <c r="Q89" i="5" s="1"/>
  <c r="T78" i="5"/>
  <c r="S79" i="5"/>
  <c r="S82" i="5"/>
  <c r="R85" i="5"/>
  <c r="T23" i="5"/>
  <c r="T16" i="5"/>
  <c r="T17" i="5" s="1"/>
  <c r="T44" i="5"/>
  <c r="S45" i="5"/>
  <c r="S48" i="5"/>
  <c r="R24" i="5"/>
  <c r="T10" i="5"/>
  <c r="T11" i="5" s="1"/>
  <c r="R63" i="1"/>
  <c r="R64" i="1" s="1"/>
  <c r="S92" i="5" s="1"/>
  <c r="R47" i="1"/>
  <c r="R48" i="1" s="1"/>
  <c r="S58" i="5" s="1"/>
  <c r="R31" i="1"/>
  <c r="R32" i="1" s="1"/>
  <c r="Q26" i="1"/>
  <c r="R18" i="5" s="1"/>
  <c r="R19" i="5" s="1"/>
  <c r="R21" i="5" s="1"/>
  <c r="U7" i="5"/>
  <c r="U14" i="5" s="1"/>
  <c r="R27" i="5" l="1"/>
  <c r="Q95" i="5"/>
  <c r="Q96" i="5" s="1"/>
  <c r="Q61" i="5"/>
  <c r="Q62" i="5" s="1"/>
  <c r="R28" i="5"/>
  <c r="R53" i="5"/>
  <c r="R55" i="5" s="1"/>
  <c r="R87" i="5"/>
  <c r="R89" i="5" s="1"/>
  <c r="R95" i="5" s="1"/>
  <c r="R96" i="5" s="1"/>
  <c r="S84" i="5"/>
  <c r="S85" i="5" s="1"/>
  <c r="S86" i="5"/>
  <c r="S91" i="5"/>
  <c r="S52" i="5"/>
  <c r="S50" i="5"/>
  <c r="S51" i="5" s="1"/>
  <c r="S57" i="5"/>
  <c r="S24" i="5"/>
  <c r="U23" i="5"/>
  <c r="U16" i="5"/>
  <c r="U17" i="5" s="1"/>
  <c r="U44" i="5"/>
  <c r="T48" i="5"/>
  <c r="T45" i="5"/>
  <c r="T82" i="5"/>
  <c r="U78" i="5"/>
  <c r="T79" i="5"/>
  <c r="U10" i="5"/>
  <c r="U11" i="5" s="1"/>
  <c r="S63" i="1"/>
  <c r="S47" i="1"/>
  <c r="S31" i="1"/>
  <c r="S32" i="1" s="1"/>
  <c r="R26" i="1"/>
  <c r="S18" i="5" s="1"/>
  <c r="S19" i="5" s="1"/>
  <c r="S21" i="5" s="1"/>
  <c r="V7" i="5"/>
  <c r="V14" i="5" s="1"/>
  <c r="S27" i="5" l="1"/>
  <c r="S28" i="5" s="1"/>
  <c r="R61" i="5"/>
  <c r="R62" i="5" s="1"/>
  <c r="S53" i="5"/>
  <c r="S55" i="5" s="1"/>
  <c r="S61" i="5" s="1"/>
  <c r="S62" i="5" s="1"/>
  <c r="T91" i="5"/>
  <c r="T86" i="5"/>
  <c r="T84" i="5"/>
  <c r="T85" i="5" s="1"/>
  <c r="S87" i="5"/>
  <c r="S89" i="5" s="1"/>
  <c r="T57" i="5"/>
  <c r="T52" i="5"/>
  <c r="T50" i="5"/>
  <c r="T51" i="5" s="1"/>
  <c r="V44" i="5"/>
  <c r="U45" i="5"/>
  <c r="U48" i="5"/>
  <c r="T24" i="5"/>
  <c r="U82" i="5"/>
  <c r="U79" i="5"/>
  <c r="V78" i="5"/>
  <c r="V16" i="5"/>
  <c r="V17" i="5" s="1"/>
  <c r="V23" i="5"/>
  <c r="V10" i="5"/>
  <c r="V11" i="5" s="1"/>
  <c r="S48" i="1"/>
  <c r="T58" i="5" s="1"/>
  <c r="T47" i="1"/>
  <c r="T48" i="1" s="1"/>
  <c r="U58" i="5" s="1"/>
  <c r="T63" i="1"/>
  <c r="T64" i="1" s="1"/>
  <c r="U92" i="5" s="1"/>
  <c r="S64" i="1"/>
  <c r="T92" i="5" s="1"/>
  <c r="T31" i="1"/>
  <c r="T32" i="1" s="1"/>
  <c r="S26" i="1"/>
  <c r="T18" i="5" s="1"/>
  <c r="T19" i="5" s="1"/>
  <c r="T21" i="5" s="1"/>
  <c r="W7" i="5"/>
  <c r="W14" i="5" s="1"/>
  <c r="T27" i="5" l="1"/>
  <c r="T28" i="5" s="1"/>
  <c r="S95" i="5"/>
  <c r="S96" i="5" s="1"/>
  <c r="T53" i="5"/>
  <c r="T87" i="5"/>
  <c r="T89" i="5" s="1"/>
  <c r="U91" i="5"/>
  <c r="U86" i="5"/>
  <c r="U84" i="5"/>
  <c r="U85" i="5" s="1"/>
  <c r="U57" i="5"/>
  <c r="U50" i="5"/>
  <c r="U51" i="5" s="1"/>
  <c r="U52" i="5"/>
  <c r="W16" i="5"/>
  <c r="W17" i="5" s="1"/>
  <c r="W23" i="5"/>
  <c r="W18" i="5"/>
  <c r="U24" i="5"/>
  <c r="V82" i="5"/>
  <c r="W78" i="5"/>
  <c r="V79" i="5"/>
  <c r="T55" i="5"/>
  <c r="V48" i="5"/>
  <c r="W44" i="5"/>
  <c r="V45" i="5"/>
  <c r="W10" i="5"/>
  <c r="W11" i="5" s="1"/>
  <c r="U47" i="1"/>
  <c r="U48" i="1" s="1"/>
  <c r="V58" i="5" s="1"/>
  <c r="U63" i="1"/>
  <c r="U64" i="1" s="1"/>
  <c r="V92" i="5" s="1"/>
  <c r="U31" i="1"/>
  <c r="U32" i="1" s="1"/>
  <c r="T26" i="1"/>
  <c r="U18" i="5" s="1"/>
  <c r="U19" i="5" s="1"/>
  <c r="U21" i="5" s="1"/>
  <c r="U27" i="5" l="1"/>
  <c r="U28" i="5" s="1"/>
  <c r="T61" i="5"/>
  <c r="T62" i="5" s="1"/>
  <c r="T95" i="5"/>
  <c r="T96" i="5" s="1"/>
  <c r="U87" i="5"/>
  <c r="U89" i="5" s="1"/>
  <c r="U95" i="5" s="1"/>
  <c r="U96" i="5"/>
  <c r="U53" i="5"/>
  <c r="U55" i="5" s="1"/>
  <c r="V91" i="5"/>
  <c r="V86" i="5"/>
  <c r="V84" i="5"/>
  <c r="V50" i="5"/>
  <c r="V51" i="5" s="1"/>
  <c r="V52" i="5"/>
  <c r="V57" i="5"/>
  <c r="W45" i="5"/>
  <c r="W48" i="5"/>
  <c r="W82" i="5"/>
  <c r="W79" i="5"/>
  <c r="V85" i="5"/>
  <c r="V24" i="5"/>
  <c r="W19" i="5"/>
  <c r="W21" i="5" s="1"/>
  <c r="U26" i="1"/>
  <c r="V18" i="5" s="1"/>
  <c r="V19" i="5" s="1"/>
  <c r="V21" i="5" s="1"/>
  <c r="V27" i="5" s="1"/>
  <c r="V28" i="5" l="1"/>
  <c r="U61" i="5"/>
  <c r="U62" i="5" s="1"/>
  <c r="W91" i="5"/>
  <c r="W86" i="5"/>
  <c r="W84" i="5"/>
  <c r="W85" i="5" s="1"/>
  <c r="W50" i="5"/>
  <c r="W51" i="5" s="1"/>
  <c r="W57" i="5"/>
  <c r="W52" i="5"/>
  <c r="V53" i="5"/>
  <c r="V55" i="5" s="1"/>
  <c r="V87" i="5"/>
  <c r="V89" i="5" s="1"/>
  <c r="V47" i="1"/>
  <c r="V48" i="1" s="1"/>
  <c r="W58" i="5" s="1"/>
  <c r="V63" i="1"/>
  <c r="V64" i="1" s="1"/>
  <c r="W92" i="5" s="1"/>
  <c r="V31" i="1"/>
  <c r="V32" i="1" s="1"/>
  <c r="V95" i="5" l="1"/>
  <c r="V96" i="5" s="1"/>
  <c r="V61" i="5"/>
  <c r="V62" i="5" s="1"/>
  <c r="W87" i="5"/>
  <c r="W89" i="5" s="1"/>
  <c r="W95" i="5" s="1"/>
  <c r="W53" i="5"/>
  <c r="W55" i="5" s="1"/>
  <c r="W24" i="5"/>
  <c r="W27" i="5" l="1"/>
  <c r="C33" i="5" s="1"/>
  <c r="C34" i="5" s="1"/>
  <c r="W61" i="5"/>
  <c r="C67" i="5" s="1"/>
  <c r="C68" i="5" s="1"/>
  <c r="C101" i="5"/>
  <c r="C102" i="5" s="1"/>
  <c r="W96" i="5"/>
  <c r="C97" i="5" s="1"/>
  <c r="W62" i="5"/>
  <c r="C63" i="5" s="1"/>
  <c r="W28" i="5" l="1"/>
  <c r="C29" i="5" s="1"/>
  <c r="C36" i="5" s="1"/>
  <c r="G6" i="15" s="1"/>
  <c r="G10" i="15" s="1"/>
  <c r="G12" i="15" s="1"/>
  <c r="C70" i="5"/>
  <c r="C6" i="15"/>
  <c r="C10" i="15" s="1"/>
  <c r="C12" i="15" s="1"/>
  <c r="C104" i="5"/>
  <c r="K6" i="15" s="1"/>
  <c r="K10" i="15" s="1"/>
  <c r="K12" i="15" s="1"/>
  <c r="H12" i="15" l="1"/>
  <c r="D16" i="15"/>
  <c r="L12" i="15"/>
  <c r="D17" i="15"/>
  <c r="D12" i="15"/>
  <c r="D15" i="15"/>
  <c r="D19" i="15" l="1"/>
  <c r="D20" i="15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tc={27A7C6CF-317B-C541-A3F5-E89E60FC315D}</author>
    <author>tc={8ABABC57-C314-7D40-9AAE-DBB00075C413}</author>
    <author>tc={68A2D925-FA18-5742-BF4A-B3BF00102F0C}</author>
    <author>tc={162C081D-76CB-BF44-8BA2-D7A0C198DD50}</author>
    <author>tc={0354D933-6F5F-C941-891E-D0C7985813AA}</author>
    <author>tc={F74A3ED4-BAF0-9F41-9C71-A0D8DD0D0545}</author>
    <author>tc={EBA145A4-BB6D-3948-8CF1-00527AB59466}</author>
    <author>tc={ABD3AF0F-992D-6F40-812E-5B38B496A53C}</author>
    <author>tc={EEF6C4E7-31D8-3546-8E91-3688A989817E}</author>
    <author>tc={3CCF0245-0CB0-5E4F-A405-4117E21774DB}</author>
    <author>tc={6E05FD58-8F1B-4145-AA88-246246FDD2C5}</author>
    <author>tc={9D661F17-1B57-B14A-9E96-41979682728D}</author>
    <author>tc={3EAB253A-EFAE-064B-BCA0-670A3B479D66}</author>
    <author>tc={93A9FEE5-C603-4746-815F-B9761C4227CA}</author>
    <author>tc={3505D059-E789-8442-8DBB-A73FD989D7DC}</author>
    <author>tc={0ECAACA9-7106-C646-AAD9-5DB738427989}</author>
    <author>tc={43FAA250-3E1A-FB41-B32A-56D8F892D6BE}</author>
    <author>tc={7DED99F5-5F9B-064E-B963-69D1EFEC9B37}</author>
    <author>tc={97077581-86B4-5D4D-A28D-0B3DBD6E1AEA}</author>
    <author>tc={C7E45E02-B422-EB47-A863-B110B04FD4D6}</author>
    <author>tc={459FB399-2A89-5D44-BEAF-644EB3D449A4}</author>
    <author>tc={416D87F3-6B8B-CB49-A147-25E2485BC7BC}</author>
    <author>tc={380DE8B9-9A3E-8740-8253-4114CDCFB168}</author>
    <author>tc={C6F66688-ADE3-4E46-B94C-430C6655DBA9}</author>
  </authors>
  <commentList>
    <comment ref="B21" authorId="0" shapeId="0" xr:uid="{27A7C6CF-317B-C541-A3F5-E89E60FC315D}">
      <text>
        <t>[Threaded comment]
Your version of Excel allows you to read this threaded comment; however, any edits to it will get removed if the file is opened in a newer version of Excel. Learn more: https://go.microsoft.com/fwlink/?linkid=870924
Comment:
    Starting with 3% quarterly sales growth for FY25 sales to be on low-end of guidance. Steadily decreasing toward long-run annual growth rate of ~3%</t>
      </text>
    </comment>
    <comment ref="B22" authorId="1" shapeId="0" xr:uid="{8ABABC57-C314-7D40-9AAE-DBB00075C413}">
      <text>
        <t>[Threaded comment]
Your version of Excel allows you to read this threaded comment; however, any edits to it will get removed if the file is opened in a newer version of Excel. Learn more: https://go.microsoft.com/fwlink/?linkid=870924
Comment:
    Assuming consistent store openings, working toward FND’s long-term goal of 500. Model will have 25 stores opening per year under same cadence with more stores opening in H2 each year, and 371 stores at end of Yr 5</t>
      </text>
    </comment>
    <comment ref="B25" authorId="2" shapeId="0" xr:uid="{68A2D925-FA18-5742-BF4A-B3BF00102F0C}">
      <text>
        <t>[Threaded comment]
Your version of Excel allows you to read this threaded comment; however, any edits to it will get removed if the file is opened in a newer version of Excel. Learn more: https://go.microsoft.com/fwlink/?linkid=870924
Comment:
    Even though trend has been decreasing, holding COGS % Rev steady at latest reported value to reflect uncertainty related to tariffs and sourcing</t>
      </text>
    </comment>
    <comment ref="B26" authorId="3" shapeId="0" xr:uid="{162C081D-76CB-BF44-8BA2-D7A0C198DD50}">
      <text>
        <t>[Threaded comment]
Your version of Excel allows you to read this threaded comment; however, any edits to it will get removed if the file is opened in a newer version of Excel. Learn more: https://go.microsoft.com/fwlink/?linkid=870924
Comment:
    Starting at most recently reported value to reflect increasing lease costs, increased hiring costs, and increased in-store programming costs. Declining straight-line over 5 yr forecast period to match 3 yr avg. assuming automation of stores and increased operational efficiency (includes D&amp;A)</t>
      </text>
    </comment>
    <comment ref="B27" authorId="4" shapeId="0" xr:uid="{0354D933-6F5F-C941-891E-D0C7985813AA}">
      <text>
        <t>[Threaded comment]
Your version of Excel allows you to read this threaded comment; however, any edits to it will get removed if the file is opened in a newer version of Excel. Learn more: https://go.microsoft.com/fwlink/?linkid=870924
Comment:
    Has been slightly increasing over past 3 yrs. Assuming management’s guidance of 5% going forward</t>
      </text>
    </comment>
    <comment ref="B28" authorId="5" shapeId="0" xr:uid="{F74A3ED4-BAF0-9F41-9C71-A0D8DD0D0545}">
      <text>
        <t>[Threaded comment]
Your version of Excel allows you to read this threaded comment; however, any edits to it will get removed if the file is opened in a newer version of Excel. Learn more: https://go.microsoft.com/fwlink/?linkid=870924
Comment:
    Taking guidance for 2025, lowering to 3 yr average for remainder of forecast period</t>
      </text>
    </comment>
    <comment ref="B30" authorId="6" shapeId="0" xr:uid="{EBA145A4-BB6D-3948-8CF1-00527AB59466}">
      <text>
        <t>[Threaded comment]
Your version of Excel allows you to read this threaded comment; however, any edits to it will get removed if the file is opened in a newer version of Excel. Learn more: https://go.microsoft.com/fwlink/?linkid=870924
Comment:
    Looking at historical trend of NWC, incorporated some reflective seasonality</t>
      </text>
    </comment>
    <comment ref="B31" authorId="7" shapeId="0" xr:uid="{ABD3AF0F-992D-6F40-812E-5B38B496A53C}">
      <text>
        <t>[Threaded comment]
Your version of Excel allows you to read this threaded comment; however, any edits to it will get removed if the file is opened in a newer version of Excel. Learn more: https://go.microsoft.com/fwlink/?linkid=870924
Comment:
    Return to steady-state of 2.5% of revenue</t>
      </text>
    </comment>
    <comment ref="B37" authorId="8" shapeId="0" xr:uid="{EEF6C4E7-31D8-3546-8E91-3688A989817E}">
      <text>
        <t>[Threaded comment]
Your version of Excel allows you to read this threaded comment; however, any edits to it will get removed if the file is opened in a newer version of Excel. Learn more: https://go.microsoft.com/fwlink/?linkid=870924
Comment:
    Starting with 3.5% for 2025 quarters to get FY sales at top end of guidance. Decreasing annual growth the following 4 years to ~10.5% per year which is top end of 2025 guidance and inline with 3 yr historical sales growth.</t>
      </text>
    </comment>
    <comment ref="B38" authorId="9" shapeId="0" xr:uid="{3CCF0245-0CB0-5E4F-A405-4117E21774DB}">
      <text>
        <t>[Threaded comment]
Your version of Excel allows you to read this threaded comment; however, any edits to it will get removed if the file is opened in a newer version of Excel. Learn more: https://go.microsoft.com/fwlink/?linkid=870924
Comment:
    Assuming consistent store openings, working toward FND’s long-term goal of 500. Model will have 25 stores opening per year under same cadence with more stores opening in H2 each year, and 371 stores at end of Yr 5</t>
      </text>
    </comment>
    <comment ref="B41" authorId="10" shapeId="0" xr:uid="{6E05FD58-8F1B-4145-AA88-246246FDD2C5}">
      <text>
        <t>[Threaded comment]
Your version of Excel allows you to read this threaded comment; however, any edits to it will get removed if the file is opened in a newer version of Excel. Learn more: https://go.microsoft.com/fwlink/?linkid=870924
Comment:
    Decreasing COGS at ~0.5%/yr to account for increasing scale efficiencies and historical trend of declining COGS.</t>
      </text>
    </comment>
    <comment ref="B42" authorId="11" shapeId="0" xr:uid="{9D661F17-1B57-B14A-9E96-41979682728D}">
      <text>
        <t>[Threaded comment]
Your version of Excel allows you to read this threaded comment; however, any edits to it will get removed if the file is opened in a newer version of Excel. Learn more: https://go.microsoft.com/fwlink/?linkid=870924
Comment:
    Starting at most recently reported value to reflect increasing lease costs, increased hiring costs, and increased in-store programming costs. Declining straight-line over 5 yr forecast period to match 3 yr avg. assuming automation of stores and increased operational efficiency (includes D&amp;A)</t>
      </text>
    </comment>
    <comment ref="B43" authorId="12" shapeId="0" xr:uid="{3EAB253A-EFAE-064B-BCA0-670A3B479D66}">
      <text>
        <t>[Threaded comment]
Your version of Excel allows you to read this threaded comment; however, any edits to it will get removed if the file is opened in a newer version of Excel. Learn more: https://go.microsoft.com/fwlink/?linkid=870924
Comment:
    Has been slightly increasing over past 3 yrs. Assuming management’s guidance of 5% going forward</t>
      </text>
    </comment>
    <comment ref="B44" authorId="13" shapeId="0" xr:uid="{93A9FEE5-C603-4746-815F-B9761C4227CA}">
      <text>
        <t>[Threaded comment]
Your version of Excel allows you to read this threaded comment; however, any edits to it will get removed if the file is opened in a newer version of Excel. Learn more: https://go.microsoft.com/fwlink/?linkid=870924
Comment:
    Taking guidance for 2025, lowering to 3 yr average for remainder of forecast period</t>
      </text>
    </comment>
    <comment ref="B46" authorId="14" shapeId="0" xr:uid="{3505D059-E789-8442-8DBB-A73FD989D7DC}">
      <text>
        <t>[Threaded comment]
Your version of Excel allows you to read this threaded comment; however, any edits to it will get removed if the file is opened in a newer version of Excel. Learn more: https://go.microsoft.com/fwlink/?linkid=870924
Comment:
    Looking at historical trend of NWC, incorporated some reflective seasonality</t>
      </text>
    </comment>
    <comment ref="B47" authorId="15" shapeId="0" xr:uid="{0ECAACA9-7106-C646-AAD9-5DB738427989}">
      <text>
        <t>[Threaded comment]
Your version of Excel allows you to read this threaded comment; however, any edits to it will get removed if the file is opened in a newer version of Excel. Learn more: https://go.microsoft.com/fwlink/?linkid=870924
Comment:
    Return to steady-state of 2.5% of revenue</t>
      </text>
    </comment>
    <comment ref="B53" authorId="16" shapeId="0" xr:uid="{43FAA250-3E1A-FB41-B32A-56D8F892D6BE}">
      <text>
        <t>[Threaded comment]
Your version of Excel allows you to read this threaded comment; however, any edits to it will get removed if the file is opened in a newer version of Excel. Learn more: https://go.microsoft.com/fwlink/?linkid=870924
Comment:
    Miss on guidance in 2025 due to increased macro pressure and decreasing consumer sentiment. Accelerated decline to long-term growth rate of ~3%.</t>
      </text>
    </comment>
    <comment ref="B54" authorId="17" shapeId="0" xr:uid="{7DED99F5-5F9B-064E-B963-69D1EFEC9B37}">
      <text>
        <t>[Threaded comment]
Your version of Excel allows you to read this threaded comment; however, any edits to it will get removed if the file is opened in a newer version of Excel. Learn more: https://go.microsoft.com/fwlink/?linkid=870924
Comment:
    Assuming consistent store openings, working toward FND’s long-term goal of 500. Model will have 25 stores opening per year under same cadence with more stores opening in H2 each year, and 371 stores at end of Yr 5</t>
      </text>
    </comment>
    <comment ref="B57" authorId="18" shapeId="0" xr:uid="{97077581-86B4-5D4D-A28D-0B3DBD6E1AEA}">
      <text>
        <t>[Threaded comment]
Your version of Excel allows you to read this threaded comment; however, any edits to it will get removed if the file is opened in a newer version of Excel. Learn more: https://go.microsoft.com/fwlink/?linkid=870924
Comment:
    Even though trend has been decreasing, holding COGS % Rev steady at latest reported value to reflect uncertainty related to tariffs and sourcing</t>
      </text>
    </comment>
    <comment ref="B58" authorId="19" shapeId="0" xr:uid="{C7E45E02-B422-EB47-A863-B110B04FD4D6}">
      <text>
        <t>[Threaded comment]
Your version of Excel allows you to read this threaded comment; however, any edits to it will get removed if the file is opened in a newer version of Excel. Learn more: https://go.microsoft.com/fwlink/?linkid=870924
Comment:
    Store operating costs remain persistent and no reduction can be realized due to increased labor and lease expenses.</t>
      </text>
    </comment>
    <comment ref="B59" authorId="20" shapeId="0" xr:uid="{459FB399-2A89-5D44-BEAF-644EB3D449A4}">
      <text>
        <t>[Threaded comment]
Your version of Excel allows you to read this threaded comment; however, any edits to it will get removed if the file is opened in a newer version of Excel. Learn more: https://go.microsoft.com/fwlink/?linkid=870924
Comment:
    Has been slightly increasing over past 3 yrs. Assuming management’s guidance of 5% going forward</t>
      </text>
    </comment>
    <comment ref="B60" authorId="21" shapeId="0" xr:uid="{416D87F3-6B8B-CB49-A147-25E2485BC7BC}">
      <text>
        <t>[Threaded comment]
Your version of Excel allows you to read this threaded comment; however, any edits to it will get removed if the file is opened in a newer version of Excel. Learn more: https://go.microsoft.com/fwlink/?linkid=870924
Comment:
    Taking guidance for 2025, lowering to 3 yr average for remainder of forecast period</t>
      </text>
    </comment>
    <comment ref="B62" authorId="22" shapeId="0" xr:uid="{380DE8B9-9A3E-8740-8253-4114CDCFB168}">
      <text>
        <t>[Threaded comment]
Your version of Excel allows you to read this threaded comment; however, any edits to it will get removed if the file is opened in a newer version of Excel. Learn more: https://go.microsoft.com/fwlink/?linkid=870924
Comment:
    Looking at historical trend of NWC, incorporated some reflective seasonality</t>
      </text>
    </comment>
    <comment ref="B63" authorId="23" shapeId="0" xr:uid="{C6F66688-ADE3-4E46-B94C-430C6655DBA9}">
      <text>
        <t>[Threaded comment]
Your version of Excel allows you to read this threaded comment; however, any edits to it will get removed if the file is opened in a newer version of Excel. Learn more: https://go.microsoft.com/fwlink/?linkid=870924
Comment:
    Return to steady-state of 2.5% of revenue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tc={F1C09AE0-FD28-EE45-9F1E-9664101FA1C4}</author>
    <author>tc={3620DEE5-D7D8-4745-8A9F-F496B9FEAE76}</author>
    <author>tc={A46306C5-B917-374A-9BAF-9A182BC38F91}</author>
  </authors>
  <commentList>
    <comment ref="B25" authorId="0" shapeId="0" xr:uid="{F1C09AE0-FD28-EE45-9F1E-9664101FA1C4}">
      <text>
        <t>[Threaded comment]
Your version of Excel allows you to read this threaded comment; however, any edits to it will get removed if the file is opened in a newer version of Excel. Learn more: https://go.microsoft.com/fwlink/?linkid=870924
Comment:
    Taking midpoint of guidance for 2025 and slight uptick going forward related to store expansion and aging properties</t>
      </text>
    </comment>
    <comment ref="B59" authorId="1" shapeId="0" xr:uid="{3620DEE5-D7D8-4745-8A9F-F496B9FEAE76}">
      <text>
        <t>[Threaded comment]
Your version of Excel allows you to read this threaded comment; however, any edits to it will get removed if the file is opened in a newer version of Excel. Learn more: https://go.microsoft.com/fwlink/?linkid=870924
Comment:
    Holding Capex consistent at 2025 midpoint in guidance</t>
      </text>
    </comment>
    <comment ref="B93" authorId="2" shapeId="0" xr:uid="{A46306C5-B917-374A-9BAF-9A182BC38F91}">
      <text>
        <t>[Threaded comment]
Your version of Excel allows you to read this threaded comment; however, any edits to it will get removed if the file is opened in a newer version of Excel. Learn more: https://go.microsoft.com/fwlink/?linkid=870924
Comment:
    2025 at high end of guidance and assumption persistently higher Capex expense going forward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tc={48087F2C-7258-6F41-9451-7FEFBA58FD1B}</author>
    <author>tc={01E06806-EC1F-C848-A0F7-4462230DF4F5}</author>
    <author>tc={4D37D819-94B7-DA46-B57B-191B6858B383}</author>
    <author>tc={CB92CFB7-30DA-5C43-9CD1-04FD467280AB}</author>
  </authors>
  <commentList>
    <comment ref="B47" authorId="0" shapeId="0" xr:uid="{48087F2C-7258-6F41-9451-7FEFBA58FD1B}">
      <text>
        <t>[Threaded comment]
Your version of Excel allows you to read this threaded comment; however, any edits to it will get removed if the file is opened in a newer version of Excel. Learn more: https://go.microsoft.com/fwlink/?linkid=870924
Comment:
    Includes Q1 income tax payable items for ’22 and ‘23</t>
      </text>
    </comment>
    <comment ref="B74" authorId="1" shapeId="0" xr:uid="{01E06806-EC1F-C848-A0F7-4462230DF4F5}">
      <text>
        <t>[Threaded comment]
Your version of Excel allows you to read this threaded comment; however, any edits to it will get removed if the file is opened in a newer version of Excel. Learn more: https://go.microsoft.com/fwlink/?linkid=870924
Comment:
    Values &amp; formatted copied from “CFS Quarterly and Consolidation” sheet where underlying codes are</t>
      </text>
    </comment>
    <comment ref="B79" authorId="2" shapeId="0" xr:uid="{4D37D819-94B7-DA46-B57B-191B6858B383}">
      <text>
        <t>[Threaded comment]
Your version of Excel allows you to read this threaded comment; however, any edits to it will get removed if the file is opened in a newer version of Excel. Learn more: https://go.microsoft.com/fwlink/?linkid=870924
Comment:
    Includes all other small/one time adjustments, summed directly from CFS</t>
      </text>
    </comment>
    <comment ref="B96" authorId="3" shapeId="0" xr:uid="{CB92CFB7-30DA-5C43-9CD1-04FD467280AB}">
      <text>
        <t>[Threaded comment]
Your version of Excel allows you to read this threaded comment; however, any edits to it will get removed if the file is opened in a newer version of Excel. Learn more: https://go.microsoft.com/fwlink/?linkid=870924
Comment:
    Tax payments related to financing activities, earn-outs summed directly from CFS</t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tc={4D6C1D05-058C-9641-82D8-226E4B5DE3CF}</author>
    <author>tc={40219B06-B31D-074D-B3CC-CB717735536E}</author>
  </authors>
  <commentList>
    <comment ref="B49" authorId="0" shapeId="0" xr:uid="{4D6C1D05-058C-9641-82D8-226E4B5DE3CF}">
      <text>
        <t>[Threaded comment]
Your version of Excel allows you to read this threaded comment; however, any edits to it will get removed if the file is opened in a newer version of Excel. Learn more: https://go.microsoft.com/fwlink/?linkid=870924
Comment:
    Includes all other small/one time adjustments, summed directly from CFS</t>
      </text>
    </comment>
    <comment ref="B66" authorId="1" shapeId="0" xr:uid="{40219B06-B31D-074D-B3CC-CB717735536E}">
      <text>
        <t>[Threaded comment]
Your version of Excel allows you to read this threaded comment; however, any edits to it will get removed if the file is opened in a newer version of Excel. Learn more: https://go.microsoft.com/fwlink/?linkid=870924
Comment:
    Tax payments related to financing activities, earn-outs summed directly from CFS</t>
      </text>
    </comment>
  </commentList>
</comments>
</file>

<file path=xl/sharedStrings.xml><?xml version="1.0" encoding="utf-8"?>
<sst xmlns="http://schemas.openxmlformats.org/spreadsheetml/2006/main" count="1187" uniqueCount="540">
  <si>
    <t>Annual</t>
  </si>
  <si>
    <t>Quarterly</t>
  </si>
  <si>
    <t>Discount Rate (WACC)</t>
  </si>
  <si>
    <t>Long-term Growth Rate</t>
  </si>
  <si>
    <t>2025 Guidance</t>
  </si>
  <si>
    <t>Sales</t>
  </si>
  <si>
    <t>$4.740B - $4.900B</t>
  </si>
  <si>
    <t>Comp store sales</t>
  </si>
  <si>
    <t>0 - 3%</t>
  </si>
  <si>
    <t>Gross margin</t>
  </si>
  <si>
    <t>43.4 - 43.7%</t>
  </si>
  <si>
    <t>Selling and store operating exp</t>
  </si>
  <si>
    <t>31.0 - 31.5%</t>
  </si>
  <si>
    <t>Tax rate</t>
  </si>
  <si>
    <t>21 - 22%</t>
  </si>
  <si>
    <t>D&amp;A</t>
  </si>
  <si>
    <t>$245M</t>
  </si>
  <si>
    <t>Capex</t>
  </si>
  <si>
    <t>$330M - $400M</t>
  </si>
  <si>
    <t>Store openings</t>
  </si>
  <si>
    <t>Forecast Period Assumptions</t>
  </si>
  <si>
    <t>Q1</t>
  </si>
  <si>
    <t>Q2</t>
  </si>
  <si>
    <t>Q3</t>
  </si>
  <si>
    <t>Q4</t>
  </si>
  <si>
    <t>Sales Growth</t>
  </si>
  <si>
    <t>New Stores</t>
  </si>
  <si>
    <t>Total Stores</t>
  </si>
  <si>
    <t>COGS % Rev</t>
  </si>
  <si>
    <t>SG&amp;A % Rev</t>
  </si>
  <si>
    <t>D&amp;A % Rev</t>
  </si>
  <si>
    <t>Tax Rate</t>
  </si>
  <si>
    <t>Seasonality</t>
  </si>
  <si>
    <t>Net Working Capital</t>
  </si>
  <si>
    <t>Change in NWC</t>
  </si>
  <si>
    <t>in thousands, except per share data</t>
  </si>
  <si>
    <t>Valuation</t>
  </si>
  <si>
    <t>Enterprise value</t>
  </si>
  <si>
    <t>Debt</t>
  </si>
  <si>
    <t>Lease Liabilities</t>
  </si>
  <si>
    <t>Cash &amp; Cash Equivalents</t>
  </si>
  <si>
    <t>Equity Value</t>
  </si>
  <si>
    <t>Shares outstanding</t>
  </si>
  <si>
    <t>Implied Return</t>
  </si>
  <si>
    <t>Equity value per share</t>
  </si>
  <si>
    <t>Historical</t>
  </si>
  <si>
    <t>Forecast</t>
  </si>
  <si>
    <t>2024 Q4</t>
  </si>
  <si>
    <t>2025 Q1</t>
  </si>
  <si>
    <t>2025 Q2</t>
  </si>
  <si>
    <t>2025 Q3</t>
  </si>
  <si>
    <t>2025 Q4</t>
  </si>
  <si>
    <t>2026 Q1</t>
  </si>
  <si>
    <t>2026 Q2</t>
  </si>
  <si>
    <t>2026 Q3</t>
  </si>
  <si>
    <t>2026 Q4</t>
  </si>
  <si>
    <t>2027 Q1</t>
  </si>
  <si>
    <t>2027 Q2</t>
  </si>
  <si>
    <t>2027 Q3</t>
  </si>
  <si>
    <t>2027 Q4</t>
  </si>
  <si>
    <t>2028 Q1</t>
  </si>
  <si>
    <t>2028 Q2</t>
  </si>
  <si>
    <t>2028 Q3</t>
  </si>
  <si>
    <t>2028 Q4</t>
  </si>
  <si>
    <t>2029 Q1</t>
  </si>
  <si>
    <t>2029 Q2</t>
  </si>
  <si>
    <t>2029 Q3</t>
  </si>
  <si>
    <t>2029 Q4</t>
  </si>
  <si>
    <t>Net Sales</t>
  </si>
  <si>
    <t>% Growth</t>
  </si>
  <si>
    <t>Same store sales</t>
  </si>
  <si>
    <t>Same store sales growth</t>
  </si>
  <si>
    <t>Unlevered FCF</t>
  </si>
  <si>
    <t>Revenue</t>
  </si>
  <si>
    <t>COGS</t>
  </si>
  <si>
    <t>Gross Profit</t>
  </si>
  <si>
    <t>SG&amp;A</t>
  </si>
  <si>
    <t>EBIT</t>
  </si>
  <si>
    <t>NOPAT</t>
  </si>
  <si>
    <t>Present Value</t>
  </si>
  <si>
    <t>Stage 1 Sum of PVs</t>
  </si>
  <si>
    <t>Terminal Value</t>
  </si>
  <si>
    <t>Long-term growth rate (qtrly)</t>
  </si>
  <si>
    <t>2029 Q4 FCF * (1 + g)</t>
  </si>
  <si>
    <t>TV</t>
  </si>
  <si>
    <t>Enterprise Value</t>
  </si>
  <si>
    <t>WACC Calculation</t>
  </si>
  <si>
    <t>Cost of Debt</t>
  </si>
  <si>
    <t>Rate</t>
  </si>
  <si>
    <t>Amount</t>
  </si>
  <si>
    <t>2027 Term Loan</t>
  </si>
  <si>
    <t>Tax rate (2025 guidance)</t>
  </si>
  <si>
    <t>After-tax cost of debt</t>
  </si>
  <si>
    <t>Cost of Equity</t>
  </si>
  <si>
    <t>Risk free rate</t>
  </si>
  <si>
    <t>10-yr US treaury note</t>
  </si>
  <si>
    <t>Equity Risk Premium</t>
  </si>
  <si>
    <t>FactSet</t>
  </si>
  <si>
    <t>Beta</t>
  </si>
  <si>
    <t>3-yr adj. (FactSet)</t>
  </si>
  <si>
    <t>Weight</t>
  </si>
  <si>
    <t>Current</t>
  </si>
  <si>
    <t>Cost of Capital</t>
  </si>
  <si>
    <t>Equity</t>
  </si>
  <si>
    <t>WACC</t>
  </si>
  <si>
    <t>Floor &amp; Decor (FND) Financial Statements</t>
  </si>
  <si>
    <t>2022 Q1</t>
  </si>
  <si>
    <t>2022 Q2</t>
  </si>
  <si>
    <t>2022 Q3</t>
  </si>
  <si>
    <t>2022 Q4</t>
  </si>
  <si>
    <t>2023 Q1</t>
  </si>
  <si>
    <t>2023 Q2</t>
  </si>
  <si>
    <t>2023 Q3</t>
  </si>
  <si>
    <t>2023 Q4</t>
  </si>
  <si>
    <t>2024 Q1</t>
  </si>
  <si>
    <t>2024 Q2</t>
  </si>
  <si>
    <t>2024 Q3</t>
  </si>
  <si>
    <t>Avg.</t>
  </si>
  <si>
    <t># of Stores</t>
  </si>
  <si>
    <t>New stores</t>
  </si>
  <si>
    <t>Avg. Sales/Store (thousands)</t>
  </si>
  <si>
    <t>% Change</t>
  </si>
  <si>
    <t>Income Statement</t>
  </si>
  <si>
    <t>Cost of sales</t>
  </si>
  <si>
    <t>Operating expenses</t>
  </si>
  <si>
    <t>Selling and store operating</t>
  </si>
  <si>
    <t>General and administrative</t>
  </si>
  <si>
    <t>Pre-opening</t>
  </si>
  <si>
    <t>Operating Income</t>
  </si>
  <si>
    <t>Interest expense, net</t>
  </si>
  <si>
    <t>Income Before Taxes</t>
  </si>
  <si>
    <t>Provision for income taxes</t>
  </si>
  <si>
    <t>Net Income</t>
  </si>
  <si>
    <t>Diluted shares outstanding</t>
  </si>
  <si>
    <t>EPS (Diluted)</t>
  </si>
  <si>
    <t>Balance Sheet</t>
  </si>
  <si>
    <t>Current Assets</t>
  </si>
  <si>
    <t>Cash &amp; cash equivalents</t>
  </si>
  <si>
    <t>Income taxes receivable</t>
  </si>
  <si>
    <t>Receivables (net)</t>
  </si>
  <si>
    <t>Inventories (net)</t>
  </si>
  <si>
    <t>Prepaid expenses &amp; other current assets</t>
  </si>
  <si>
    <t>Total Current Assets</t>
  </si>
  <si>
    <t>Fixed assets (net)</t>
  </si>
  <si>
    <t>Right-of-use-assets</t>
  </si>
  <si>
    <t>Intangibles (net)</t>
  </si>
  <si>
    <t>Goodwill</t>
  </si>
  <si>
    <t>Deferred income tax assets (net)</t>
  </si>
  <si>
    <t>Other assets</t>
  </si>
  <si>
    <t>Total Long-Term Assets</t>
  </si>
  <si>
    <t>TOTAL ASSETS</t>
  </si>
  <si>
    <t>Current Liabilities</t>
  </si>
  <si>
    <t>Current portion of term loan</t>
  </si>
  <si>
    <t>Current portion of lease liabilities</t>
  </si>
  <si>
    <t>Trade accounts payable</t>
  </si>
  <si>
    <t>Accrued expenses &amp; other current liabilities</t>
  </si>
  <si>
    <t>Deferred revenue</t>
  </si>
  <si>
    <t>Total Current Liabilities</t>
  </si>
  <si>
    <t>Term loan</t>
  </si>
  <si>
    <t>Revolving line of credit</t>
  </si>
  <si>
    <t>Lease liabilities</t>
  </si>
  <si>
    <t>Deferred income tax liabilities (net)</t>
  </si>
  <si>
    <t>Other liabilities</t>
  </si>
  <si>
    <t>Total Long-Term Liabiliites</t>
  </si>
  <si>
    <t>TOTAL LIABILITIES</t>
  </si>
  <si>
    <t>Additional paid-in capital</t>
  </si>
  <si>
    <t>Accumulated other comprehensive (loss) income (net)</t>
  </si>
  <si>
    <t>Retained earnings</t>
  </si>
  <si>
    <t>TOTAL STOCKHOLDERS' EQUITY</t>
  </si>
  <si>
    <t>TOTAL LIABILITIES &amp; EQUITY</t>
  </si>
  <si>
    <t>(-) Excess Cash</t>
  </si>
  <si>
    <t>Operating Current Assets</t>
  </si>
  <si>
    <t>(-) Current Portion of Debt</t>
  </si>
  <si>
    <t>Operating Current Liabilities</t>
  </si>
  <si>
    <t>Change in NWC % Rev</t>
  </si>
  <si>
    <t>Cash Flow Statement</t>
  </si>
  <si>
    <t>OPERATING ACTIVITIES</t>
  </si>
  <si>
    <t>Net income</t>
  </si>
  <si>
    <t>(+) Depreciation &amp; amortization</t>
  </si>
  <si>
    <t>(+) Stock-based compensation</t>
  </si>
  <si>
    <t>(+/-) Other items</t>
  </si>
  <si>
    <t>Change in Working Capital</t>
  </si>
  <si>
    <t>Accounts payble</t>
  </si>
  <si>
    <t>Accrued expenses &amp; other</t>
  </si>
  <si>
    <t>Income tax</t>
  </si>
  <si>
    <t>Other (net)</t>
  </si>
  <si>
    <t>CASH FLOW FROM OPERATIONS</t>
  </si>
  <si>
    <t>INVESTING ACTIVITIES</t>
  </si>
  <si>
    <t>Purchase of fixed assets</t>
  </si>
  <si>
    <t>Acquisitions &amp; other</t>
  </si>
  <si>
    <t>CASH FLOW FROM INVESTING</t>
  </si>
  <si>
    <t>FINANCING ACTIVITIES</t>
  </si>
  <si>
    <t>(+/-) Change in debt</t>
  </si>
  <si>
    <t>(+/-) Change in stock</t>
  </si>
  <si>
    <t>CASH FLOW FROM FINANCING</t>
  </si>
  <si>
    <t>NET CHANGE IN CASH</t>
  </si>
  <si>
    <t>D&amp;A as % Rev</t>
  </si>
  <si>
    <t>Income Statement Common Size</t>
  </si>
  <si>
    <t>Cost of Sales</t>
  </si>
  <si>
    <t>Operating Expenses</t>
  </si>
  <si>
    <t>Operating income</t>
  </si>
  <si>
    <t>Income before taxes</t>
  </si>
  <si>
    <t>Balance Sheet Common Size (Major Items)</t>
  </si>
  <si>
    <t>Accounts Receivable % Revenue</t>
  </si>
  <si>
    <t>Inventory % COGS</t>
  </si>
  <si>
    <t>Operating Lease Assets % Operating Expenses</t>
  </si>
  <si>
    <t>Accounts Payable % COGS</t>
  </si>
  <si>
    <t>Accrued Expenses &amp; Other % Total Expenses</t>
  </si>
  <si>
    <t>Financial Statement Checks</t>
  </si>
  <si>
    <t>A = L + E</t>
  </si>
  <si>
    <t>Net Income CFS = Net Income IS</t>
  </si>
  <si>
    <t>Change in Cash CFS = Change in Cash BS</t>
  </si>
  <si>
    <t>20223Q</t>
  </si>
  <si>
    <t>2022Q4</t>
  </si>
  <si>
    <t>20233Q</t>
  </si>
  <si>
    <t>2023Q4</t>
  </si>
  <si>
    <t>20243Q</t>
  </si>
  <si>
    <t>2024Q4</t>
  </si>
  <si>
    <t>Total operating expenses</t>
  </si>
  <si>
    <t>Operating activities</t>
  </si>
  <si>
    <t>Through Q2</t>
  </si>
  <si>
    <t>Through Q3</t>
  </si>
  <si>
    <t>Full Year</t>
  </si>
  <si>
    <t>Adjustments to reconcile net income to net cash (used in) provided by operating activities:</t>
  </si>
  <si>
    <t> </t>
  </si>
  <si>
    <t>Depreciation and amortization</t>
  </si>
  <si>
    <t>Stock-based compensation expense</t>
  </si>
  <si>
    <t>Change in fair value of contingent earn-out liabilities</t>
  </si>
  <si>
    <t>Deferred income taxes</t>
  </si>
  <si>
    <t>Interest cap derivative contracts</t>
  </si>
  <si>
    <t>Loss on asset impairments and disposals, net</t>
  </si>
  <si>
    <t>Changes in operating assets and liabilities, net of effects of acquisition:</t>
  </si>
  <si>
    <t>Receivables, net</t>
  </si>
  <si>
    <t>Inventories, net</t>
  </si>
  <si>
    <t>Accrued expenses and other current liabilities</t>
  </si>
  <si>
    <t>Income taxes</t>
  </si>
  <si>
    <t>Other, net</t>
  </si>
  <si>
    <t>Net cash (used in) provided by operating activities</t>
  </si>
  <si>
    <t>Investing activities</t>
  </si>
  <si>
    <t>Purchases of fixed assets</t>
  </si>
  <si>
    <t>Acquisition, net of cash acquired</t>
  </si>
  <si>
    <t>Proceeds from sales of property</t>
  </si>
  <si>
    <t>Net cash used in investing activities</t>
  </si>
  <si>
    <t>Financing activities</t>
  </si>
  <si>
    <t>Borrowings on revolving line of credit</t>
  </si>
  <si>
    <t>Payments on revolving line of credit</t>
  </si>
  <si>
    <t>Proceeds from term loans</t>
  </si>
  <si>
    <t>Payments on term loans</t>
  </si>
  <si>
    <t>Payments of contingent earn-out consideration</t>
  </si>
  <si>
    <t>Proceeds from exercise of stock options</t>
  </si>
  <si>
    <t>Proceeds from employee stock purchase plan</t>
  </si>
  <si>
    <t>Debt issuance costs</t>
  </si>
  <si>
    <t>Tax payments for stock-based compensation awards</t>
  </si>
  <si>
    <t>Net cash used in financing activities</t>
  </si>
  <si>
    <t>Net (decrease) increase in cash and cash equivalents</t>
  </si>
  <si>
    <t>Cash and cash equivalents, beginning of the period</t>
  </si>
  <si>
    <t>Cash and cash equivalents, end of the period</t>
  </si>
  <si>
    <t>Supplemental disclosures of cash flow information</t>
  </si>
  <si>
    <t>Buildings and equipment acquired under operating leases</t>
  </si>
  <si>
    <t>Cash paid for interest, net of capitalized interest</t>
  </si>
  <si>
    <t>Cash paid for income taxes, net of refunds</t>
  </si>
  <si>
    <t>Fixed assets accrued at the end of the period</t>
  </si>
  <si>
    <t>Floor &amp; Decor Holdings, Inc. Class A (FND)</t>
  </si>
  <si>
    <t>Floor &amp; Decor Holdings, Inc. Class A</t>
  </si>
  <si>
    <t xml:space="preserve">FND   339750101   BYQHP96   NYSE    Common stock    </t>
  </si>
  <si>
    <t>Source: FactSet Fundamentals</t>
  </si>
  <si>
    <t>MAR '22</t>
  </si>
  <si>
    <t>JUN '22</t>
  </si>
  <si>
    <t>SEP '22</t>
  </si>
  <si>
    <t>DEC '22</t>
  </si>
  <si>
    <t>MAR '23</t>
  </si>
  <si>
    <t>JUN '23</t>
  </si>
  <si>
    <t>SEP '23</t>
  </si>
  <si>
    <t>DEC '23</t>
  </si>
  <si>
    <t>MAR '24</t>
  </si>
  <si>
    <t>JUN '24</t>
  </si>
  <si>
    <t>SEP '24</t>
  </si>
  <si>
    <t>DEC '24</t>
  </si>
  <si>
    <t>LTM</t>
  </si>
  <si>
    <t xml:space="preserve"> Profitability</t>
  </si>
  <si>
    <t>Gross Margin</t>
  </si>
  <si>
    <t>SG&amp;A to Sales</t>
  </si>
  <si>
    <t>Operating Margin</t>
  </si>
  <si>
    <t>Net Margin</t>
  </si>
  <si>
    <t>Free Cash Flow Margin</t>
  </si>
  <si>
    <t>Free Cash Flow Conversion Ratio</t>
  </si>
  <si>
    <t>Capex To Sales</t>
  </si>
  <si>
    <t>Return on Assets</t>
  </si>
  <si>
    <t xml:space="preserve">Return on Equity </t>
  </si>
  <si>
    <t>Return on Invested Capital</t>
  </si>
  <si>
    <t xml:space="preserve"> Valuation</t>
  </si>
  <si>
    <t>Price/Sales</t>
  </si>
  <si>
    <t>Price/Earnings</t>
  </si>
  <si>
    <t>Price/Book Value</t>
  </si>
  <si>
    <t>Enterprise Value/EBIT</t>
  </si>
  <si>
    <t>Enterprise Value/EBITDA</t>
  </si>
  <si>
    <t>Enterprise Value/Sales</t>
  </si>
  <si>
    <t xml:space="preserve"> Per Share</t>
  </si>
  <si>
    <t>Sales per Share</t>
  </si>
  <si>
    <t>EBIT (Operating Income) per Share</t>
  </si>
  <si>
    <t>EPS (diluted)</t>
  </si>
  <si>
    <t>Book Value per Share</t>
  </si>
  <si>
    <t>Cash Flow per Share</t>
  </si>
  <si>
    <t>Free Cash Flow per Share</t>
  </si>
  <si>
    <t>Diluted Shares Outstanding  (M)</t>
  </si>
  <si>
    <t xml:space="preserve"> Asset Turnover Analysis</t>
  </si>
  <si>
    <t>Cash &amp; ST Investments</t>
  </si>
  <si>
    <t>Receivables</t>
  </si>
  <si>
    <t>Inventories</t>
  </si>
  <si>
    <t>Fixed Assets</t>
  </si>
  <si>
    <t>Total Assets</t>
  </si>
  <si>
    <t xml:space="preserve"> DuPont Analysis</t>
  </si>
  <si>
    <t xml:space="preserve">   Asset Turnover (x)</t>
  </si>
  <si>
    <t xml:space="preserve">    x Pretax Margin (%)</t>
  </si>
  <si>
    <t xml:space="preserve"> = Pretax Return on Assets (%)</t>
  </si>
  <si>
    <t xml:space="preserve">    x Tax Rate Complement (1-Tax Rate) (%)</t>
  </si>
  <si>
    <t xml:space="preserve"> = Return on Assets (%)</t>
  </si>
  <si>
    <t xml:space="preserve">    x Equity Multiplier (Assets/Equity)</t>
  </si>
  <si>
    <t xml:space="preserve"> = Return on Equity (%)</t>
  </si>
  <si>
    <t xml:space="preserve">    x Earnings Retention (1-Payout) (%)</t>
  </si>
  <si>
    <t xml:space="preserve"> = Reinvestment Rate (%)</t>
  </si>
  <si>
    <t>Note: EBIT Return on Assets (%)</t>
  </si>
  <si>
    <t>Note: Interest as % Assets</t>
  </si>
  <si>
    <t xml:space="preserve"> Operating Efficiency</t>
  </si>
  <si>
    <t>Receivables Turnover</t>
  </si>
  <si>
    <t>Inventory Turnover</t>
  </si>
  <si>
    <t>Payables Turnover</t>
  </si>
  <si>
    <t xml:space="preserve">Asset Turnover </t>
  </si>
  <si>
    <t>Working Capital Turnover</t>
  </si>
  <si>
    <t xml:space="preserve"> Operating Cycle - Days</t>
  </si>
  <si>
    <t xml:space="preserve">   Days of Inventory on Hand</t>
  </si>
  <si>
    <t xml:space="preserve">    + Days of Sales Outstanding</t>
  </si>
  <si>
    <t xml:space="preserve"> = Operating Cycle</t>
  </si>
  <si>
    <t xml:space="preserve">    - Days of Payables Outstanding</t>
  </si>
  <si>
    <t xml:space="preserve"> = Net Operating Cycle</t>
  </si>
  <si>
    <t xml:space="preserve"> Liquidity</t>
  </si>
  <si>
    <t>Current Ratio (x)</t>
  </si>
  <si>
    <t>Quick Ratio (x)</t>
  </si>
  <si>
    <t>Cash Ratio</t>
  </si>
  <si>
    <t>Cash &amp; ST Inv/Current Assets</t>
  </si>
  <si>
    <t>CFO/Current Liabilities</t>
  </si>
  <si>
    <t xml:space="preserve"> Coverage</t>
  </si>
  <si>
    <t>Net Debt/EBITDA</t>
  </si>
  <si>
    <t>Net Debt/(EBITDA-Capex)</t>
  </si>
  <si>
    <t>Total Debt/EBITDA</t>
  </si>
  <si>
    <t>EBIT/Interest Expense (Int. Coverage)</t>
  </si>
  <si>
    <t>EBITDA/Interest Expense</t>
  </si>
  <si>
    <t>Fixed-charge Coverage Ratio</t>
  </si>
  <si>
    <t>CFO/Interest Expense</t>
  </si>
  <si>
    <t>LT Debt/EBITDA</t>
  </si>
  <si>
    <t>Net Debt/FFO</t>
  </si>
  <si>
    <t>LT Debt/FFO</t>
  </si>
  <si>
    <t>CFO/Total Debt</t>
  </si>
  <si>
    <t>EBITDA-Capex/Interest Expense</t>
  </si>
  <si>
    <t xml:space="preserve"> Leverage</t>
  </si>
  <si>
    <t>LT Debt/Total Equity</t>
  </si>
  <si>
    <t>LT Debt/Total Capital</t>
  </si>
  <si>
    <t>LT Debt/Total Assets</t>
  </si>
  <si>
    <t>Total Debt/Total Assets (%)</t>
  </si>
  <si>
    <t>Net Debt/Total Equity (%)</t>
  </si>
  <si>
    <t>Total Debt/Equity (%)</t>
  </si>
  <si>
    <t>Net Debt/Total Capital</t>
  </si>
  <si>
    <t>Total Debt/Total Capital</t>
  </si>
  <si>
    <t>All figures in millions of U.S. Dollar except per share items.</t>
  </si>
  <si>
    <t>*sourced from FactSet to ensure like for like comparison across metrics and comps</t>
  </si>
  <si>
    <t>Comps Tables - Named Competitors</t>
  </si>
  <si>
    <t>Selected Financials</t>
  </si>
  <si>
    <t>Market Data ($)</t>
  </si>
  <si>
    <t>Financial ($)</t>
  </si>
  <si>
    <t>Valuation (x)</t>
  </si>
  <si>
    <t>Company</t>
  </si>
  <si>
    <t>Fiscal</t>
  </si>
  <si>
    <t>Shares Out</t>
  </si>
  <si>
    <t>EV/</t>
  </si>
  <si>
    <t>Name</t>
  </si>
  <si>
    <t>Ticker</t>
  </si>
  <si>
    <t>Period</t>
  </si>
  <si>
    <t>Price</t>
  </si>
  <si>
    <t>Mkt Cap (M)</t>
  </si>
  <si>
    <t>EV (M)</t>
  </si>
  <si>
    <t>(M)</t>
  </si>
  <si>
    <t>Diluted (M)</t>
  </si>
  <si>
    <t>Sales (M)</t>
  </si>
  <si>
    <t>EBIT (M)</t>
  </si>
  <si>
    <t>EBITDA (M)</t>
  </si>
  <si>
    <t>EBITDA</t>
  </si>
  <si>
    <t>Floor &amp; Decor Holdings A</t>
  </si>
  <si>
    <t>FND-US</t>
  </si>
  <si>
    <t>12/2024</t>
  </si>
  <si>
    <t>-</t>
  </si>
  <si>
    <t>Live Ventures</t>
  </si>
  <si>
    <t>LIVE-US</t>
  </si>
  <si>
    <t>12/31/2024</t>
  </si>
  <si>
    <t>Lowe's Companies</t>
  </si>
  <si>
    <t>LOW-US</t>
  </si>
  <si>
    <t>01/2025</t>
  </si>
  <si>
    <t>Home Depot</t>
  </si>
  <si>
    <t>HD-US</t>
  </si>
  <si>
    <t>BuildDirect.com</t>
  </si>
  <si>
    <t>BDCTF-US</t>
  </si>
  <si>
    <t>Average</t>
  </si>
  <si>
    <t>Median</t>
  </si>
  <si>
    <t>P/E (x)</t>
  </si>
  <si>
    <t>EV/ (x)</t>
  </si>
  <si>
    <t>FY1</t>
  </si>
  <si>
    <t>Date</t>
  </si>
  <si>
    <t>Actual</t>
  </si>
  <si>
    <t>FY2</t>
  </si>
  <si>
    <t>12/2025</t>
  </si>
  <si>
    <t>09/2025</t>
  </si>
  <si>
    <t>01/2026</t>
  </si>
  <si>
    <t>Capitalization</t>
  </si>
  <si>
    <t>Cash &amp; ST</t>
  </si>
  <si>
    <t>Preferred</t>
  </si>
  <si>
    <t>Accumulated</t>
  </si>
  <si>
    <t>Investment (M)</t>
  </si>
  <si>
    <t>Total Debt (M)</t>
  </si>
  <si>
    <t>Stock (M)</t>
  </si>
  <si>
    <t>Min Interest (M)</t>
  </si>
  <si>
    <t>Margins</t>
  </si>
  <si>
    <t>Gross Margin (%)</t>
  </si>
  <si>
    <t>EBITDA Margin (%)</t>
  </si>
  <si>
    <t>EBIT Margin (%)</t>
  </si>
  <si>
    <t>Pretax Margin (%)</t>
  </si>
  <si>
    <t>Net Margin (%)</t>
  </si>
  <si>
    <t>NTM</t>
  </si>
  <si>
    <t>Performance</t>
  </si>
  <si>
    <t>52 Week High</t>
  </si>
  <si>
    <t>52 Week Low</t>
  </si>
  <si>
    <t>Price Change (%)</t>
  </si>
  <si>
    <t>Beta to</t>
  </si>
  <si>
    <t>Price ($)</t>
  </si>
  <si>
    <t>% Below</t>
  </si>
  <si>
    <t>% Above</t>
  </si>
  <si>
    <t>Loc Indx 1Y</t>
  </si>
  <si>
    <t>1 Day</t>
  </si>
  <si>
    <t>1 Month</t>
  </si>
  <si>
    <t>3 Month</t>
  </si>
  <si>
    <t>6 Month</t>
  </si>
  <si>
    <t>1 Year</t>
  </si>
  <si>
    <t>3 Year</t>
  </si>
  <si>
    <t>5 Year</t>
  </si>
  <si>
    <t>05/15/2024</t>
  </si>
  <si>
    <t>04/04/2025</t>
  </si>
  <si>
    <t>03/25/2025</t>
  </si>
  <si>
    <t>10/15/2024</t>
  </si>
  <si>
    <t>04/09/2025</t>
  </si>
  <si>
    <t>11/26/2024</t>
  </si>
  <si>
    <t>05/29/2024</t>
  </si>
  <si>
    <t>03/24/2025</t>
  </si>
  <si>
    <t>10/07/2024</t>
  </si>
  <si>
    <t>Maximum</t>
  </si>
  <si>
    <t>Minimum</t>
  </si>
  <si>
    <t>Valuation Summary</t>
  </si>
  <si>
    <t>Scenario</t>
  </si>
  <si>
    <t>Base</t>
  </si>
  <si>
    <t>Targets &amp; Ratings</t>
  </si>
  <si>
    <t>Broker</t>
  </si>
  <si>
    <t>Analyst</t>
  </si>
  <si>
    <t>Rating Date</t>
  </si>
  <si>
    <t>Rating*</t>
  </si>
  <si>
    <t>Price on Rating Date</t>
  </si>
  <si>
    <t>Tgt Price Date</t>
  </si>
  <si>
    <t>Tgt Price*</t>
  </si>
  <si>
    <t>Price on Tgt Price Date</t>
  </si>
  <si>
    <t>Tgt Price Implied Return (%)</t>
  </si>
  <si>
    <t>Mean</t>
  </si>
  <si>
    <t>21 Apr '25</t>
  </si>
  <si>
    <t>Hold (1.80)</t>
  </si>
  <si>
    <t>Mizuho Securities USA</t>
  </si>
  <si>
    <t>David Bellinger</t>
  </si>
  <si>
    <t>17 Apr '25</t>
  </si>
  <si>
    <t>Hold</t>
  </si>
  <si>
    <t>Evercore ISI</t>
  </si>
  <si>
    <t>Greg Melich</t>
  </si>
  <si>
    <t>TD Cowen</t>
  </si>
  <si>
    <t>Max Rakhlenko</t>
  </si>
  <si>
    <t>11 Apr '25</t>
  </si>
  <si>
    <t>Restricted</t>
  </si>
  <si>
    <t>04 Apr '25</t>
  </si>
  <si>
    <t>Sell</t>
  </si>
  <si>
    <t>02 Apr '25</t>
  </si>
  <si>
    <t>Overweight</t>
  </si>
  <si>
    <t>14 Apr '25</t>
  </si>
  <si>
    <t>Melius Research</t>
  </si>
  <si>
    <t>Karen Short</t>
  </si>
  <si>
    <t>01 Apr '25</t>
  </si>
  <si>
    <t>Piper Sandler Companies</t>
  </si>
  <si>
    <t>Peter J. Keith</t>
  </si>
  <si>
    <t>21 Mar '25</t>
  </si>
  <si>
    <t>Baptista Research</t>
  </si>
  <si>
    <t>Ishan Majumdar</t>
  </si>
  <si>
    <t>05 Mar '25</t>
  </si>
  <si>
    <t>Truist Securities</t>
  </si>
  <si>
    <t>Keith Hughes</t>
  </si>
  <si>
    <t>28 Feb '25</t>
  </si>
  <si>
    <t>Buy</t>
  </si>
  <si>
    <t>21 Feb '25</t>
  </si>
  <si>
    <t>Equisights</t>
  </si>
  <si>
    <t>Parth Talsania</t>
  </si>
  <si>
    <t>Telsey Advisory Group</t>
  </si>
  <si>
    <t>Joseph Feldman</t>
  </si>
  <si>
    <t>24 Feb '25</t>
  </si>
  <si>
    <t>William Blair</t>
  </si>
  <si>
    <t>Phillip Blee</t>
  </si>
  <si>
    <t>Jefferies</t>
  </si>
  <si>
    <t>Jonathan Matuszewski</t>
  </si>
  <si>
    <t>Stifel Nicolaus</t>
  </si>
  <si>
    <t>W. Andrew Carter</t>
  </si>
  <si>
    <t>Wedbush Securities</t>
  </si>
  <si>
    <t>Seth Basham</t>
  </si>
  <si>
    <t>Wells Fargo Securities</t>
  </si>
  <si>
    <t>Zachary Fadem</t>
  </si>
  <si>
    <t>Loop Capital Markets</t>
  </si>
  <si>
    <t>Anthony C. Chukumba</t>
  </si>
  <si>
    <t>Guggenheim Securities</t>
  </si>
  <si>
    <t>Steven Forbes</t>
  </si>
  <si>
    <t>Gordon Haskett</t>
  </si>
  <si>
    <t>Chuck Grom</t>
  </si>
  <si>
    <t>Sell-Side Price Target</t>
  </si>
  <si>
    <t>Upside</t>
  </si>
  <si>
    <t>Downside</t>
  </si>
  <si>
    <t>SCENARIOS</t>
  </si>
  <si>
    <t>Probability</t>
  </si>
  <si>
    <t>Share Price</t>
  </si>
  <si>
    <t>Blended share price</t>
  </si>
  <si>
    <t>CAGR qtrly</t>
  </si>
  <si>
    <t>Annualized</t>
  </si>
  <si>
    <t>Builders FirstSource</t>
  </si>
  <si>
    <t>BLDR-US</t>
  </si>
  <si>
    <t>Tile Shop</t>
  </si>
  <si>
    <t>TTSH-US</t>
  </si>
  <si>
    <t>09/19/2024</t>
  </si>
  <si>
    <t>03/03/2025</t>
  </si>
  <si>
    <t>04/18/2025</t>
  </si>
  <si>
    <t>04/25/2024</t>
  </si>
  <si>
    <t>Stock price (4/22/2025)</t>
  </si>
  <si>
    <t>*as of 4/22/2025</t>
  </si>
  <si>
    <t>23 Apr '25</t>
  </si>
  <si>
    <t>22 Apr '25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</si>
</sst>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_(* #,##0_);_(* \(#,##0\);_(* &quot;-&quot;??_);_(@_)"/>
    <numFmt numFmtId="166" formatCode="_(&quot;$ &quot;#,##0_);_(&quot;$ &quot;\(#,##0\)"/>
    <numFmt numFmtId="167" formatCode="#,##0.0"/>
    <numFmt numFmtId="168" formatCode="#,##0.00\x"/>
    <numFmt numFmtId="169" formatCode="#,##0.0\%"/>
    <numFmt numFmtId="170" formatCode="#,##0.00\%"/>
  </numFmts>
  <fonts count="2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6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name val="Calibri"/>
      <family val="2"/>
    </font>
    <font>
      <sz val="11"/>
      <color rgb="FF0070C0"/>
      <name val="Calibri (Body)"/>
    </font>
    <font>
      <b/>
      <sz val="11"/>
      <name val="Calibri"/>
      <family val="2"/>
    </font>
    <font>
      <sz val="11"/>
      <color rgb="FF0070C0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</font>
    <font>
      <b/>
      <sz val="10"/>
      <color theme="1"/>
      <name val="Arial"/>
      <family val="2"/>
    </font>
    <font>
      <b/>
      <sz val="10"/>
      <color rgb="FF003366"/>
      <name val="Arial"/>
      <family val="2"/>
    </font>
    <font>
      <sz val="10"/>
      <color rgb="FFFF0000"/>
      <name val="Arial"/>
      <family val="2"/>
    </font>
    <font>
      <sz val="10"/>
      <color rgb="FF646464"/>
      <name val="Arial"/>
      <family val="2"/>
    </font>
    <font>
      <sz val="11"/>
      <color rgb="FF7030A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0F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BFBFBF"/>
        <bgColor rgb="FF000000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185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Alignment="1">
      <alignment horizontal="left"/>
    </xf>
    <xf numFmtId="0" fontId="0" fillId="0" borderId="0" xfId="0" applyAlignment="1">
      <alignment horizontal="left" indent="2"/>
    </xf>
    <xf numFmtId="0" fontId="2" fillId="0" borderId="0" xfId="0" applyFont="1" applyAlignment="1">
      <alignment horizontal="center" vertical="top"/>
    </xf>
    <xf numFmtId="0" fontId="2" fillId="0" borderId="0" xfId="0" applyFont="1"/>
    <xf numFmtId="0" fontId="6" fillId="0" borderId="0" xfId="0" applyFont="1"/>
    <xf numFmtId="0" fontId="7" fillId="0" borderId="0" xfId="0" applyFont="1"/>
    <xf numFmtId="44" fontId="0" fillId="0" borderId="0" xfId="2" applyFont="1"/>
    <xf numFmtId="164" fontId="0" fillId="0" borderId="0" xfId="2" applyNumberFormat="1" applyFont="1"/>
    <xf numFmtId="164" fontId="8" fillId="0" borderId="0" xfId="2" applyNumberFormat="1" applyFont="1"/>
    <xf numFmtId="164" fontId="8" fillId="0" borderId="3" xfId="2" applyNumberFormat="1" applyFont="1" applyBorder="1"/>
    <xf numFmtId="165" fontId="8" fillId="0" borderId="0" xfId="1" applyNumberFormat="1" applyFont="1"/>
    <xf numFmtId="44" fontId="8" fillId="0" borderId="0" xfId="2" applyFont="1"/>
    <xf numFmtId="10" fontId="0" fillId="0" borderId="0" xfId="3" applyNumberFormat="1" applyFont="1"/>
    <xf numFmtId="10" fontId="0" fillId="0" borderId="1" xfId="3" applyNumberFormat="1" applyFont="1" applyBorder="1"/>
    <xf numFmtId="10" fontId="0" fillId="0" borderId="3" xfId="3" applyNumberFormat="1" applyFont="1" applyBorder="1"/>
    <xf numFmtId="10" fontId="0" fillId="0" borderId="0" xfId="0" applyNumberFormat="1"/>
    <xf numFmtId="10" fontId="0" fillId="0" borderId="1" xfId="0" applyNumberFormat="1" applyBorder="1"/>
    <xf numFmtId="10" fontId="0" fillId="0" borderId="3" xfId="0" applyNumberFormat="1" applyBorder="1"/>
    <xf numFmtId="15" fontId="0" fillId="0" borderId="0" xfId="0" applyNumberFormat="1"/>
    <xf numFmtId="3" fontId="0" fillId="0" borderId="0" xfId="0" applyNumberFormat="1"/>
    <xf numFmtId="0" fontId="8" fillId="0" borderId="0" xfId="0" applyFont="1"/>
    <xf numFmtId="0" fontId="2" fillId="0" borderId="0" xfId="0" applyFont="1" applyAlignment="1">
      <alignment horizontal="center" vertical="center"/>
    </xf>
    <xf numFmtId="165" fontId="8" fillId="0" borderId="1" xfId="2" applyNumberFormat="1" applyFont="1" applyBorder="1"/>
    <xf numFmtId="165" fontId="8" fillId="0" borderId="0" xfId="2" applyNumberFormat="1" applyFont="1"/>
    <xf numFmtId="166" fontId="9" fillId="0" borderId="0" xfId="0" applyNumberFormat="1" applyFont="1" applyAlignment="1">
      <alignment horizontal="right" vertical="top"/>
    </xf>
    <xf numFmtId="37" fontId="9" fillId="0" borderId="0" xfId="0" applyNumberFormat="1" applyFont="1" applyAlignment="1">
      <alignment horizontal="right" vertical="top"/>
    </xf>
    <xf numFmtId="165" fontId="0" fillId="0" borderId="0" xfId="2" applyNumberFormat="1" applyFont="1"/>
    <xf numFmtId="37" fontId="0" fillId="0" borderId="0" xfId="0" applyNumberFormat="1"/>
    <xf numFmtId="166" fontId="10" fillId="0" borderId="0" xfId="0" applyNumberFormat="1" applyFont="1" applyAlignment="1">
      <alignment horizontal="right" vertical="top"/>
    </xf>
    <xf numFmtId="37" fontId="10" fillId="0" borderId="0" xfId="0" applyNumberFormat="1" applyFont="1" applyAlignment="1">
      <alignment horizontal="right" vertical="top"/>
    </xf>
    <xf numFmtId="0" fontId="10" fillId="0" borderId="0" xfId="0" applyFont="1"/>
    <xf numFmtId="164" fontId="10" fillId="0" borderId="0" xfId="2" applyNumberFormat="1" applyFont="1" applyAlignment="1">
      <alignment horizontal="right" vertical="top"/>
    </xf>
    <xf numFmtId="164" fontId="10" fillId="0" borderId="0" xfId="2" applyNumberFormat="1" applyFont="1"/>
    <xf numFmtId="165" fontId="10" fillId="0" borderId="0" xfId="2" applyNumberFormat="1" applyFont="1" applyAlignment="1">
      <alignment horizontal="right" vertical="top"/>
    </xf>
    <xf numFmtId="165" fontId="10" fillId="0" borderId="0" xfId="2" applyNumberFormat="1" applyFont="1"/>
    <xf numFmtId="165" fontId="10" fillId="0" borderId="1" xfId="2" applyNumberFormat="1" applyFont="1" applyBorder="1" applyAlignment="1">
      <alignment horizontal="right" vertical="top"/>
    </xf>
    <xf numFmtId="165" fontId="10" fillId="0" borderId="2" xfId="2" applyNumberFormat="1" applyFont="1" applyBorder="1" applyAlignment="1">
      <alignment horizontal="right" vertical="top"/>
    </xf>
    <xf numFmtId="164" fontId="10" fillId="0" borderId="3" xfId="2" applyNumberFormat="1" applyFont="1" applyBorder="1" applyAlignment="1">
      <alignment horizontal="right" vertical="top"/>
    </xf>
    <xf numFmtId="0" fontId="11" fillId="0" borderId="0" xfId="0" applyFont="1" applyAlignment="1">
      <alignment vertical="top"/>
    </xf>
    <xf numFmtId="0" fontId="5" fillId="0" borderId="0" xfId="0" applyFont="1"/>
    <xf numFmtId="0" fontId="9" fillId="0" borderId="0" xfId="0" applyFont="1" applyAlignment="1">
      <alignment vertical="top"/>
    </xf>
    <xf numFmtId="166" fontId="0" fillId="0" borderId="0" xfId="0" applyNumberFormat="1"/>
    <xf numFmtId="166" fontId="12" fillId="0" borderId="0" xfId="0" applyNumberFormat="1" applyFont="1" applyAlignment="1">
      <alignment horizontal="right" vertical="top"/>
    </xf>
    <xf numFmtId="0" fontId="12" fillId="0" borderId="0" xfId="0" applyFont="1"/>
    <xf numFmtId="0" fontId="12" fillId="0" borderId="0" xfId="0" applyFont="1" applyAlignment="1">
      <alignment vertical="top" wrapText="1"/>
    </xf>
    <xf numFmtId="37" fontId="12" fillId="0" borderId="0" xfId="0" applyNumberFormat="1" applyFont="1" applyAlignment="1">
      <alignment horizontal="right" vertical="top"/>
    </xf>
    <xf numFmtId="166" fontId="8" fillId="0" borderId="0" xfId="0" applyNumberFormat="1" applyFont="1"/>
    <xf numFmtId="37" fontId="8" fillId="0" borderId="0" xfId="0" applyNumberFormat="1" applyFont="1"/>
    <xf numFmtId="166" fontId="13" fillId="0" borderId="0" xfId="0" applyNumberFormat="1" applyFont="1"/>
    <xf numFmtId="37" fontId="13" fillId="0" borderId="0" xfId="0" applyNumberFormat="1" applyFont="1"/>
    <xf numFmtId="0" fontId="14" fillId="0" borderId="0" xfId="0" applyFont="1"/>
    <xf numFmtId="166" fontId="10" fillId="0" borderId="0" xfId="0" applyNumberFormat="1" applyFont="1"/>
    <xf numFmtId="0" fontId="10" fillId="0" borderId="0" xfId="0" applyFont="1" applyAlignment="1">
      <alignment vertical="top" wrapText="1"/>
    </xf>
    <xf numFmtId="37" fontId="10" fillId="0" borderId="0" xfId="0" applyNumberFormat="1" applyFont="1"/>
    <xf numFmtId="0" fontId="13" fillId="0" borderId="0" xfId="0" applyFont="1"/>
    <xf numFmtId="164" fontId="13" fillId="0" borderId="0" xfId="2" applyNumberFormat="1" applyFont="1"/>
    <xf numFmtId="165" fontId="13" fillId="0" borderId="0" xfId="2" applyNumberFormat="1" applyFont="1"/>
    <xf numFmtId="165" fontId="9" fillId="0" borderId="0" xfId="2" applyNumberFormat="1" applyFont="1" applyAlignment="1">
      <alignment horizontal="right" vertical="top"/>
    </xf>
    <xf numFmtId="165" fontId="0" fillId="0" borderId="1" xfId="2" applyNumberFormat="1" applyFont="1" applyBorder="1"/>
    <xf numFmtId="165" fontId="13" fillId="0" borderId="1" xfId="2" applyNumberFormat="1" applyFont="1" applyBorder="1"/>
    <xf numFmtId="165" fontId="9" fillId="0" borderId="1" xfId="2" applyNumberFormat="1" applyFont="1" applyBorder="1" applyAlignment="1">
      <alignment horizontal="right" vertical="top"/>
    </xf>
    <xf numFmtId="164" fontId="12" fillId="0" borderId="4" xfId="2" applyNumberFormat="1" applyFont="1" applyBorder="1" applyAlignment="1">
      <alignment horizontal="right" vertical="top"/>
    </xf>
    <xf numFmtId="164" fontId="9" fillId="0" borderId="4" xfId="2" applyNumberFormat="1" applyFont="1" applyBorder="1" applyAlignment="1">
      <alignment horizontal="right" vertical="top"/>
    </xf>
    <xf numFmtId="0" fontId="1" fillId="0" borderId="0" xfId="0" applyFont="1"/>
    <xf numFmtId="0" fontId="4" fillId="0" borderId="0" xfId="0" applyFont="1" applyAlignment="1">
      <alignment horizontal="center" vertical="center"/>
    </xf>
    <xf numFmtId="10" fontId="0" fillId="0" borderId="0" xfId="3" applyNumberFormat="1" applyFont="1" applyBorder="1"/>
    <xf numFmtId="44" fontId="0" fillId="0" borderId="0" xfId="0" applyNumberFormat="1"/>
    <xf numFmtId="10" fontId="13" fillId="0" borderId="0" xfId="3" applyNumberFormat="1" applyFont="1"/>
    <xf numFmtId="14" fontId="0" fillId="0" borderId="0" xfId="0" applyNumberFormat="1"/>
    <xf numFmtId="8" fontId="0" fillId="0" borderId="0" xfId="0" applyNumberFormat="1"/>
    <xf numFmtId="0" fontId="0" fillId="0" borderId="0" xfId="0" applyAlignment="1">
      <alignment horizontal="center" vertical="center"/>
    </xf>
    <xf numFmtId="10" fontId="3" fillId="0" borderId="0" xfId="3" applyNumberFormat="1" applyFont="1"/>
    <xf numFmtId="164" fontId="10" fillId="0" borderId="0" xfId="2" applyNumberFormat="1" applyFont="1" applyBorder="1" applyAlignment="1">
      <alignment horizontal="right" vertical="top"/>
    </xf>
    <xf numFmtId="164" fontId="10" fillId="0" borderId="1" xfId="2" applyNumberFormat="1" applyFont="1" applyBorder="1" applyAlignment="1">
      <alignment horizontal="right" vertical="top"/>
    </xf>
    <xf numFmtId="164" fontId="13" fillId="0" borderId="1" xfId="2" applyNumberFormat="1" applyFont="1" applyBorder="1" applyAlignment="1">
      <alignment horizontal="right" vertical="top"/>
    </xf>
    <xf numFmtId="164" fontId="13" fillId="0" borderId="2" xfId="2" applyNumberFormat="1" applyFont="1" applyBorder="1" applyAlignment="1">
      <alignment horizontal="right" vertical="top"/>
    </xf>
    <xf numFmtId="164" fontId="13" fillId="0" borderId="3" xfId="2" applyNumberFormat="1" applyFont="1" applyBorder="1" applyAlignment="1">
      <alignment horizontal="right" vertical="top"/>
    </xf>
    <xf numFmtId="164" fontId="13" fillId="0" borderId="0" xfId="2" applyNumberFormat="1" applyFont="1" applyBorder="1" applyAlignment="1">
      <alignment horizontal="right" vertical="top"/>
    </xf>
    <xf numFmtId="164" fontId="13" fillId="0" borderId="0" xfId="3" applyNumberFormat="1" applyFont="1" applyBorder="1" applyAlignment="1">
      <alignment horizontal="right" vertical="top"/>
    </xf>
    <xf numFmtId="164" fontId="12" fillId="0" borderId="0" xfId="2" applyNumberFormat="1" applyFont="1" applyBorder="1" applyAlignment="1">
      <alignment horizontal="right" vertical="top"/>
    </xf>
    <xf numFmtId="164" fontId="9" fillId="0" borderId="0" xfId="2" applyNumberFormat="1" applyFont="1" applyBorder="1" applyAlignment="1">
      <alignment horizontal="right" vertical="top"/>
    </xf>
    <xf numFmtId="164" fontId="0" fillId="0" borderId="0" xfId="0" applyNumberFormat="1"/>
    <xf numFmtId="10" fontId="16" fillId="0" borderId="0" xfId="0" applyNumberFormat="1" applyFont="1"/>
    <xf numFmtId="0" fontId="0" fillId="0" borderId="1" xfId="0" applyBorder="1"/>
    <xf numFmtId="10" fontId="16" fillId="0" borderId="0" xfId="3" applyNumberFormat="1" applyFont="1"/>
    <xf numFmtId="0" fontId="0" fillId="0" borderId="3" xfId="0" applyBorder="1"/>
    <xf numFmtId="10" fontId="16" fillId="0" borderId="3" xfId="3" applyNumberFormat="1" applyFont="1" applyBorder="1"/>
    <xf numFmtId="9" fontId="16" fillId="0" borderId="0" xfId="0" applyNumberFormat="1" applyFont="1"/>
    <xf numFmtId="0" fontId="6" fillId="0" borderId="0" xfId="0" applyFont="1" applyAlignment="1">
      <alignment horizontal="left"/>
    </xf>
    <xf numFmtId="0" fontId="13" fillId="0" borderId="0" xfId="3" applyNumberFormat="1" applyFont="1"/>
    <xf numFmtId="2" fontId="13" fillId="0" borderId="0" xfId="3" applyNumberFormat="1" applyFont="1"/>
    <xf numFmtId="0" fontId="0" fillId="2" borderId="0" xfId="0" applyFill="1"/>
    <xf numFmtId="10" fontId="8" fillId="0" borderId="0" xfId="0" applyNumberFormat="1" applyFont="1"/>
    <xf numFmtId="10" fontId="0" fillId="0" borderId="4" xfId="0" applyNumberFormat="1" applyBorder="1"/>
    <xf numFmtId="0" fontId="16" fillId="0" borderId="0" xfId="0" applyFont="1"/>
    <xf numFmtId="0" fontId="2" fillId="2" borderId="0" xfId="0" applyFont="1" applyFill="1"/>
    <xf numFmtId="0" fontId="2" fillId="2" borderId="0" xfId="0" applyFont="1" applyFill="1" applyAlignment="1">
      <alignment horizontal="center"/>
    </xf>
    <xf numFmtId="164" fontId="0" fillId="0" borderId="0" xfId="2" applyNumberFormat="1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44" fontId="0" fillId="0" borderId="0" xfId="0" applyNumberFormat="1" applyAlignment="1">
      <alignment horizontal="center" vertical="center"/>
    </xf>
    <xf numFmtId="10" fontId="8" fillId="0" borderId="0" xfId="3" applyNumberFormat="1" applyFont="1"/>
    <xf numFmtId="10" fontId="13" fillId="0" borderId="0" xfId="3" applyNumberFormat="1" applyFont="1" applyBorder="1" applyAlignment="1">
      <alignment horizontal="right" vertical="top"/>
    </xf>
    <xf numFmtId="164" fontId="16" fillId="0" borderId="0" xfId="2" applyNumberFormat="1" applyFont="1"/>
    <xf numFmtId="165" fontId="0" fillId="0" borderId="0" xfId="0" applyNumberFormat="1"/>
    <xf numFmtId="0" fontId="0" fillId="0" borderId="7" xfId="0" applyBorder="1"/>
    <xf numFmtId="0" fontId="0" fillId="0" borderId="8" xfId="0" applyBorder="1"/>
    <xf numFmtId="0" fontId="2" fillId="0" borderId="5" xfId="0" applyFont="1" applyBorder="1"/>
    <xf numFmtId="0" fontId="2" fillId="0" borderId="3" xfId="0" applyFont="1" applyBorder="1"/>
    <xf numFmtId="164" fontId="8" fillId="0" borderId="1" xfId="2" applyNumberFormat="1" applyFont="1" applyBorder="1"/>
    <xf numFmtId="0" fontId="17" fillId="0" borderId="7" xfId="0" applyFont="1" applyBorder="1"/>
    <xf numFmtId="0" fontId="18" fillId="0" borderId="0" xfId="0" applyFont="1"/>
    <xf numFmtId="0" fontId="0" fillId="0" borderId="10" xfId="0" applyBorder="1"/>
    <xf numFmtId="0" fontId="18" fillId="3" borderId="0" xfId="0" applyFont="1" applyFill="1" applyAlignment="1">
      <alignment horizontal="left"/>
    </xf>
    <xf numFmtId="0" fontId="19" fillId="4" borderId="0" xfId="0" applyFont="1" applyFill="1" applyAlignment="1">
      <alignment horizontal="left"/>
    </xf>
    <xf numFmtId="4" fontId="0" fillId="0" borderId="0" xfId="0" applyNumberFormat="1" applyAlignment="1">
      <alignment horizontal="right"/>
    </xf>
    <xf numFmtId="0" fontId="0" fillId="4" borderId="0" xfId="0" applyFill="1" applyAlignment="1">
      <alignment horizontal="left" indent="1"/>
    </xf>
    <xf numFmtId="4" fontId="0" fillId="4" borderId="0" xfId="0" applyNumberFormat="1" applyFill="1" applyAlignment="1">
      <alignment horizontal="right"/>
    </xf>
    <xf numFmtId="4" fontId="20" fillId="4" borderId="0" xfId="0" applyNumberFormat="1" applyFont="1" applyFill="1" applyAlignment="1">
      <alignment horizontal="right"/>
    </xf>
    <xf numFmtId="4" fontId="20" fillId="0" borderId="0" xfId="0" applyNumberFormat="1" applyFont="1" applyAlignment="1">
      <alignment horizontal="right"/>
    </xf>
    <xf numFmtId="0" fontId="19" fillId="0" borderId="0" xfId="0" applyFont="1" applyAlignment="1">
      <alignment horizontal="left"/>
    </xf>
    <xf numFmtId="0" fontId="19" fillId="4" borderId="0" xfId="0" applyFont="1" applyFill="1" applyAlignment="1">
      <alignment horizontal="left" indent="3"/>
    </xf>
    <xf numFmtId="4" fontId="19" fillId="4" borderId="0" xfId="0" applyNumberFormat="1" applyFont="1" applyFill="1" applyAlignment="1">
      <alignment horizontal="right"/>
    </xf>
    <xf numFmtId="0" fontId="0" fillId="0" borderId="0" xfId="0" applyAlignment="1">
      <alignment horizontal="left" indent="4"/>
    </xf>
    <xf numFmtId="0" fontId="0" fillId="4" borderId="0" xfId="0" applyFill="1" applyAlignment="1">
      <alignment horizontal="left"/>
    </xf>
    <xf numFmtId="0" fontId="21" fillId="0" borderId="0" xfId="0" applyFont="1" applyAlignment="1">
      <alignment horizontal="left"/>
    </xf>
    <xf numFmtId="0" fontId="7" fillId="0" borderId="9" xfId="0" applyFont="1" applyBorder="1"/>
    <xf numFmtId="167" fontId="0" fillId="4" borderId="0" xfId="0" applyNumberFormat="1" applyFill="1" applyAlignment="1">
      <alignment horizontal="right"/>
    </xf>
    <xf numFmtId="168" fontId="0" fillId="4" borderId="0" xfId="0" applyNumberFormat="1" applyFill="1" applyAlignment="1">
      <alignment horizontal="right"/>
    </xf>
    <xf numFmtId="167" fontId="0" fillId="0" borderId="0" xfId="0" applyNumberFormat="1" applyAlignment="1">
      <alignment horizontal="right"/>
    </xf>
    <xf numFmtId="168" fontId="0" fillId="0" borderId="0" xfId="0" applyNumberFormat="1" applyAlignment="1">
      <alignment horizontal="right"/>
    </xf>
    <xf numFmtId="169" fontId="0" fillId="4" borderId="0" xfId="0" applyNumberFormat="1" applyFill="1" applyAlignment="1">
      <alignment horizontal="right"/>
    </xf>
    <xf numFmtId="169" fontId="0" fillId="0" borderId="0" xfId="0" applyNumberFormat="1" applyAlignment="1">
      <alignment horizontal="right"/>
    </xf>
    <xf numFmtId="169" fontId="20" fillId="0" borderId="0" xfId="0" applyNumberFormat="1" applyFont="1" applyAlignment="1">
      <alignment horizontal="right"/>
    </xf>
    <xf numFmtId="169" fontId="20" fillId="4" borderId="0" xfId="0" applyNumberFormat="1" applyFont="1" applyFill="1" applyAlignment="1">
      <alignment horizontal="right"/>
    </xf>
    <xf numFmtId="170" fontId="20" fillId="4" borderId="0" xfId="0" applyNumberFormat="1" applyFont="1" applyFill="1" applyAlignment="1">
      <alignment horizontal="right"/>
    </xf>
    <xf numFmtId="170" fontId="0" fillId="4" borderId="0" xfId="0" applyNumberFormat="1" applyFill="1" applyAlignment="1">
      <alignment horizontal="right"/>
    </xf>
    <xf numFmtId="170" fontId="20" fillId="0" borderId="0" xfId="0" applyNumberFormat="1" applyFont="1" applyAlignment="1">
      <alignment horizontal="right"/>
    </xf>
    <xf numFmtId="170" fontId="0" fillId="0" borderId="0" xfId="0" applyNumberFormat="1" applyAlignment="1">
      <alignment horizontal="right"/>
    </xf>
    <xf numFmtId="167" fontId="20" fillId="4" borderId="0" xfId="0" applyNumberFormat="1" applyFont="1" applyFill="1" applyAlignment="1">
      <alignment horizontal="right"/>
    </xf>
    <xf numFmtId="44" fontId="22" fillId="0" borderId="0" xfId="2" applyFont="1" applyFill="1" applyAlignment="1">
      <alignment horizontal="left"/>
    </xf>
    <xf numFmtId="10" fontId="22" fillId="0" borderId="0" xfId="3" applyNumberFormat="1" applyFont="1" applyFill="1" applyAlignment="1">
      <alignment horizontal="left"/>
    </xf>
    <xf numFmtId="0" fontId="23" fillId="0" borderId="0" xfId="0" applyFont="1"/>
    <xf numFmtId="0" fontId="24" fillId="0" borderId="0" xfId="0" applyFont="1"/>
    <xf numFmtId="44" fontId="2" fillId="0" borderId="0" xfId="2" applyFont="1" applyFill="1" applyBorder="1"/>
    <xf numFmtId="0" fontId="23" fillId="5" borderId="0" xfId="0" applyFont="1" applyFill="1"/>
    <xf numFmtId="164" fontId="0" fillId="0" borderId="0" xfId="2" applyNumberFormat="1" applyFont="1" applyBorder="1"/>
    <xf numFmtId="165" fontId="0" fillId="0" borderId="0" xfId="1" applyNumberFormat="1" applyFont="1" applyBorder="1"/>
    <xf numFmtId="0" fontId="0" fillId="2" borderId="12" xfId="0" applyFill="1" applyBorder="1"/>
    <xf numFmtId="44" fontId="2" fillId="2" borderId="1" xfId="2" applyFont="1" applyFill="1" applyBorder="1"/>
    <xf numFmtId="10" fontId="13" fillId="0" borderId="13" xfId="3" applyNumberFormat="1" applyFont="1" applyBorder="1"/>
    <xf numFmtId="0" fontId="0" fillId="0" borderId="8" xfId="0" applyBorder="1" applyAlignment="1">
      <alignment horizontal="right"/>
    </xf>
    <xf numFmtId="0" fontId="24" fillId="0" borderId="5" xfId="0" applyFont="1" applyBorder="1"/>
    <xf numFmtId="0" fontId="14" fillId="0" borderId="7" xfId="0" applyFont="1" applyBorder="1"/>
    <xf numFmtId="0" fontId="14" fillId="0" borderId="8" xfId="0" applyFont="1" applyBorder="1"/>
    <xf numFmtId="0" fontId="14" fillId="0" borderId="8" xfId="0" applyFont="1" applyBorder="1" applyAlignment="1">
      <alignment horizontal="right"/>
    </xf>
    <xf numFmtId="0" fontId="14" fillId="6" borderId="12" xfId="0" applyFont="1" applyFill="1" applyBorder="1"/>
    <xf numFmtId="10" fontId="16" fillId="0" borderId="0" xfId="0" applyNumberFormat="1" applyFont="1" applyAlignment="1">
      <alignment horizontal="right" vertical="center"/>
    </xf>
    <xf numFmtId="0" fontId="2" fillId="0" borderId="7" xfId="0" applyFont="1" applyBorder="1"/>
    <xf numFmtId="0" fontId="13" fillId="0" borderId="0" xfId="0" applyFont="1" applyAlignment="1">
      <alignment horizontal="center"/>
    </xf>
    <xf numFmtId="9" fontId="13" fillId="0" borderId="8" xfId="0" applyNumberFormat="1" applyFont="1" applyBorder="1" applyAlignment="1">
      <alignment horizontal="center"/>
    </xf>
    <xf numFmtId="0" fontId="24" fillId="0" borderId="7" xfId="0" applyFont="1" applyBorder="1"/>
    <xf numFmtId="9" fontId="0" fillId="0" borderId="0" xfId="0" applyNumberFormat="1"/>
    <xf numFmtId="9" fontId="13" fillId="0" borderId="0" xfId="0" applyNumberFormat="1" applyFont="1"/>
    <xf numFmtId="164" fontId="8" fillId="0" borderId="0" xfId="2" applyNumberFormat="1" applyFont="1" applyAlignment="1">
      <alignment horizontal="center" vertical="center"/>
    </xf>
    <xf numFmtId="164" fontId="8" fillId="0" borderId="0" xfId="0" applyNumberFormat="1" applyFont="1" applyAlignment="1">
      <alignment horizontal="center" vertical="center"/>
    </xf>
    <xf numFmtId="165" fontId="8" fillId="0" borderId="0" xfId="0" applyNumberFormat="1" applyFont="1"/>
    <xf numFmtId="0" fontId="0" fillId="0" borderId="11" xfId="0" applyBorder="1"/>
    <xf numFmtId="10" fontId="0" fillId="0" borderId="13" xfId="3" applyNumberFormat="1" applyFont="1" applyBorder="1"/>
    <xf numFmtId="0" fontId="13" fillId="0" borderId="5" xfId="0" applyFont="1" applyBorder="1"/>
    <xf numFmtId="0" fontId="13" fillId="0" borderId="12" xfId="0" applyFont="1" applyBorder="1"/>
    <xf numFmtId="44" fontId="2" fillId="0" borderId="6" xfId="2" applyFont="1" applyBorder="1"/>
    <xf numFmtId="0" fontId="0" fillId="0" borderId="0" xfId="0" applyAlignment="1">
      <alignment horizontal="right"/>
    </xf>
    <xf numFmtId="10" fontId="0" fillId="0" borderId="0" xfId="3" applyNumberFormat="1" applyFont="1" applyAlignment="1">
      <alignment horizontal="center" vertical="center"/>
    </xf>
    <xf numFmtId="0" fontId="2" fillId="0" borderId="0" xfId="0" applyFont="1" applyAlignment="1">
      <alignment horizontal="right"/>
    </xf>
    <xf numFmtId="0" fontId="2" fillId="2" borderId="0" xfId="0" applyFont="1" applyFill="1" applyAlignment="1">
      <alignment horizontal="center"/>
    </xf>
    <xf numFmtId="0" fontId="23" fillId="5" borderId="0" xfId="0" applyFont="1" applyFill="1" applyAlignment="1">
      <alignment horizontal="left"/>
    </xf>
    <xf numFmtId="0" fontId="23" fillId="2" borderId="0" xfId="0" applyFont="1" applyFill="1" applyAlignment="1">
      <alignment horizontal="left"/>
    </xf>
    <xf numFmtId="0" fontId="8" fillId="0" borderId="0" xfId="0" applyFont="1" applyAlignment="1">
      <alignment horizontal="center"/>
    </xf>
    <xf numFmtId="44" fontId="22" fillId="0" borderId="0" xfId="0" applyNumberFormat="1" applyFont="1" applyAlignment="1">
      <alignment horizontal="center"/>
    </xf>
    <xf numFmtId="0" fontId="23" fillId="5" borderId="11" xfId="0" applyFont="1" applyFill="1" applyBorder="1" applyAlignment="1">
      <alignment horizontal="center"/>
    </xf>
    <xf numFmtId="0" fontId="23" fillId="5" borderId="6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4" fillId="0" borderId="0" xfId="0" applyFont="1" applyAlignment="1">
      <alignment horizontal="center"/>
    </xf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30"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microsoft.com/office/2017/10/relationships/person" Target="persons/perso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Charles Papagiannopoulos" id="{61B55CD7-FAF9-E848-92B8-669AF916E9D9}" userId="d1fb8a83b8c56d5f" providerId="Windows Live"/>
  <person displayName="Papagiannopoulos, Charles" id="{FFE80A8A-CB60-3044-A40D-0982B9C2749A}" userId="S::charles.papagiannopoulos@yale.edu::c5397230-efff-4a38-93b3-95cf39cda663" providerId="AD"/>
</personLis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21" dT="2025-04-21T03:42:41.07" personId="{FFE80A8A-CB60-3044-A40D-0982B9C2749A}" id="{27A7C6CF-317B-C541-A3F5-E89E60FC315D}">
    <text>Starting with 3% quarterly sales growth for FY25 sales to be on low-end of guidance. Steadily decreasing toward long-run annual growth rate of ~3%</text>
  </threadedComment>
  <threadedComment ref="B22" dT="2025-04-21T03:44:17.01" personId="{FFE80A8A-CB60-3044-A40D-0982B9C2749A}" id="{8ABABC57-C314-7D40-9AAE-DBB00075C413}">
    <text>Assuming consistent store openings, working toward FND’s long-term goal of 500. Model will have 25 stores opening per year under same cadence with more stores opening in H2 each year, and 371 stores at end of Yr 5</text>
  </threadedComment>
  <threadedComment ref="B25" dT="2025-04-21T03:46:58.31" personId="{FFE80A8A-CB60-3044-A40D-0982B9C2749A}" id="{68A2D925-FA18-5742-BF4A-B3BF00102F0C}">
    <text>Even though trend has been decreasing, holding COGS % Rev steady at latest reported value to reflect uncertainty related to tariffs and sourcing</text>
  </threadedComment>
  <threadedComment ref="B26" dT="2025-04-21T03:52:34.37" personId="{FFE80A8A-CB60-3044-A40D-0982B9C2749A}" id="{162C081D-76CB-BF44-8BA2-D7A0C198DD50}">
    <text>Starting at most recently reported value to reflect increasing lease costs, increased hiring costs, and increased in-store programming costs. Declining straight-line over 5 yr forecast period to match 3 yr avg. assuming automation of stores and increased operational efficiency (includes D&amp;A)</text>
  </threadedComment>
  <threadedComment ref="B27" dT="2025-04-21T03:54:20.47" personId="{FFE80A8A-CB60-3044-A40D-0982B9C2749A}" id="{0354D933-6F5F-C941-891E-D0C7985813AA}">
    <text>Has been slightly increasing over past 3 yrs. Assuming management’s guidance of 5% going forward</text>
  </threadedComment>
  <threadedComment ref="B28" dT="2025-04-21T04:03:58.81" personId="{FFE80A8A-CB60-3044-A40D-0982B9C2749A}" id="{F74A3ED4-BAF0-9F41-9C71-A0D8DD0D0545}">
    <text>Taking guidance for 2025, lowering to 3 yr average for remainder of forecast period</text>
  </threadedComment>
  <threadedComment ref="B30" dT="2025-04-23T17:45:53.84" personId="{FFE80A8A-CB60-3044-A40D-0982B9C2749A}" id="{EBA145A4-BB6D-3948-8CF1-00527AB59466}">
    <text>Looking at historical trend of NWC, incorporated some reflective seasonality</text>
  </threadedComment>
  <threadedComment ref="B31" dT="2025-04-21T17:20:19.16" personId="{FFE80A8A-CB60-3044-A40D-0982B9C2749A}" id="{ABD3AF0F-992D-6F40-812E-5B38B496A53C}">
    <text>Return to steady-state of 2.5% of revenue</text>
  </threadedComment>
  <threadedComment ref="B37" dT="2025-04-21T03:42:41.07" personId="{FFE80A8A-CB60-3044-A40D-0982B9C2749A}" id="{EEF6C4E7-31D8-3546-8E91-3688A989817E}">
    <text>Starting with 3.5% for 2025 quarters to get FY sales at top end of guidance. Decreasing annual growth the following 4 years to ~10.5% per year which is top end of 2025 guidance and inline with 3 yr historical sales growth.</text>
  </threadedComment>
  <threadedComment ref="B38" dT="2025-04-21T03:44:17.01" personId="{FFE80A8A-CB60-3044-A40D-0982B9C2749A}" id="{3CCF0245-0CB0-5E4F-A405-4117E21774DB}">
    <text>Assuming consistent store openings, working toward FND’s long-term goal of 500. Model will have 25 stores opening per year under same cadence with more stores opening in H2 each year, and 371 stores at end of Yr 5</text>
  </threadedComment>
  <threadedComment ref="B41" dT="2025-04-21T03:46:58.31" personId="{FFE80A8A-CB60-3044-A40D-0982B9C2749A}" id="{6E05FD58-8F1B-4145-AA88-246246FDD2C5}">
    <text>Decreasing COGS at ~0.5%/yr to account for increasing scale efficiencies and historical trend of declining COGS.</text>
  </threadedComment>
  <threadedComment ref="B42" dT="2025-04-21T03:52:34.37" personId="{FFE80A8A-CB60-3044-A40D-0982B9C2749A}" id="{9D661F17-1B57-B14A-9E96-41979682728D}">
    <text>Starting at most recently reported value to reflect increasing lease costs, increased hiring costs, and increased in-store programming costs. Declining straight-line over 5 yr forecast period to match 3 yr avg. assuming automation of stores and increased operational efficiency (includes D&amp;A)</text>
  </threadedComment>
  <threadedComment ref="B43" dT="2025-04-21T03:54:20.47" personId="{FFE80A8A-CB60-3044-A40D-0982B9C2749A}" id="{3EAB253A-EFAE-064B-BCA0-670A3B479D66}">
    <text>Has been slightly increasing over past 3 yrs. Assuming management’s guidance of 5% going forward</text>
  </threadedComment>
  <threadedComment ref="B44" dT="2025-04-21T04:03:58.81" personId="{FFE80A8A-CB60-3044-A40D-0982B9C2749A}" id="{93A9FEE5-C603-4746-815F-B9761C4227CA}">
    <text>Taking guidance for 2025, lowering to 3 yr average for remainder of forecast period</text>
  </threadedComment>
  <threadedComment ref="B46" dT="2025-04-23T17:46:11.33" personId="{FFE80A8A-CB60-3044-A40D-0982B9C2749A}" id="{3505D059-E789-8442-8DBB-A73FD989D7DC}">
    <text>Looking at historical trend of NWC, incorporated some reflective seasonality</text>
  </threadedComment>
  <threadedComment ref="B47" dT="2025-04-21T17:20:19.16" personId="{FFE80A8A-CB60-3044-A40D-0982B9C2749A}" id="{0ECAACA9-7106-C646-AAD9-5DB738427989}">
    <text>Return to steady-state of 2.5% of revenue</text>
  </threadedComment>
  <threadedComment ref="B53" dT="2025-04-21T03:42:41.07" personId="{FFE80A8A-CB60-3044-A40D-0982B9C2749A}" id="{43FAA250-3E1A-FB41-B32A-56D8F892D6BE}">
    <text>Miss on guidance in 2025 due to increased macro pressure and decreasing consumer sentiment. Accelerated decline to long-term growth rate of ~3%.</text>
  </threadedComment>
  <threadedComment ref="B54" dT="2025-04-21T03:44:17.01" personId="{FFE80A8A-CB60-3044-A40D-0982B9C2749A}" id="{7DED99F5-5F9B-064E-B963-69D1EFEC9B37}">
    <text>Assuming consistent store openings, working toward FND’s long-term goal of 500. Model will have 25 stores opening per year under same cadence with more stores opening in H2 each year, and 371 stores at end of Yr 5</text>
  </threadedComment>
  <threadedComment ref="B57" dT="2025-04-21T03:46:58.31" personId="{FFE80A8A-CB60-3044-A40D-0982B9C2749A}" id="{97077581-86B4-5D4D-A28D-0B3DBD6E1AEA}">
    <text>Even though trend has been decreasing, holding COGS % Rev steady at latest reported value to reflect uncertainty related to tariffs and sourcing</text>
  </threadedComment>
  <threadedComment ref="B58" dT="2025-04-21T03:52:34.37" personId="{FFE80A8A-CB60-3044-A40D-0982B9C2749A}" id="{C7E45E02-B422-EB47-A863-B110B04FD4D6}">
    <text>Store operating costs remain persistent and no reduction can be realized due to increased labor and lease expenses.</text>
  </threadedComment>
  <threadedComment ref="B59" dT="2025-04-21T03:54:20.47" personId="{FFE80A8A-CB60-3044-A40D-0982B9C2749A}" id="{459FB399-2A89-5D44-BEAF-644EB3D449A4}">
    <text>Has been slightly increasing over past 3 yrs. Assuming management’s guidance of 5% going forward</text>
  </threadedComment>
  <threadedComment ref="B60" dT="2025-04-21T04:03:58.81" personId="{FFE80A8A-CB60-3044-A40D-0982B9C2749A}" id="{416D87F3-6B8B-CB49-A147-25E2485BC7BC}">
    <text>Taking guidance for 2025, lowering to 3 yr average for remainder of forecast period</text>
  </threadedComment>
  <threadedComment ref="B62" dT="2025-04-23T17:46:20.05" personId="{FFE80A8A-CB60-3044-A40D-0982B9C2749A}" id="{380DE8B9-9A3E-8740-8253-4114CDCFB168}">
    <text>Looking at historical trend of NWC, incorporated some reflective seasonality</text>
  </threadedComment>
  <threadedComment ref="B63" dT="2025-04-21T17:20:19.16" personId="{FFE80A8A-CB60-3044-A40D-0982B9C2749A}" id="{C6F66688-ADE3-4E46-B94C-430C6655DBA9}">
    <text>Return to steady-state of 2.5% of revenue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B25" dT="2025-04-23T17:36:43.73" personId="{FFE80A8A-CB60-3044-A40D-0982B9C2749A}" id="{F1C09AE0-FD28-EE45-9F1E-9664101FA1C4}">
    <text>Taking midpoint of guidance for 2025 and slight uptick going forward related to store expansion and aging properties</text>
  </threadedComment>
  <threadedComment ref="B59" dT="2025-04-23T17:37:12.67" personId="{FFE80A8A-CB60-3044-A40D-0982B9C2749A}" id="{3620DEE5-D7D8-4745-8A9F-F496B9FEAE76}">
    <text>Holding Capex consistent at 2025 midpoint in guidance</text>
  </threadedComment>
  <threadedComment ref="B93" dT="2025-04-23T17:37:37.86" personId="{FFE80A8A-CB60-3044-A40D-0982B9C2749A}" id="{A46306C5-B917-374A-9BAF-9A182BC38F91}">
    <text>2025 at high end of guidance and assumption persistently higher Capex expense going forward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B47" dT="2025-04-19T15:42:50.52" personId="{61B55CD7-FAF9-E848-92B8-669AF916E9D9}" id="{48087F2C-7258-6F41-9451-7FEFBA58FD1B}">
    <text>Includes Q1 income tax payable items for ’22 and ‘23</text>
  </threadedComment>
  <threadedComment ref="B74" dT="2025-04-19T17:54:47.82" personId="{61B55CD7-FAF9-E848-92B8-669AF916E9D9}" id="{01E06806-EC1F-C848-A0F7-4462230DF4F5}">
    <text>Values &amp; formatted copied from “CFS Quarterly and Consolidation” sheet where underlying codes are</text>
  </threadedComment>
  <threadedComment ref="B79" dT="2025-04-19T15:57:34.85" personId="{61B55CD7-FAF9-E848-92B8-669AF916E9D9}" id="{4D37D819-94B7-DA46-B57B-191B6858B383}">
    <text>Includes all other small/one time adjustments, summed directly from CFS</text>
  </threadedComment>
  <threadedComment ref="B96" dT="2025-04-19T16:12:53.53" personId="{61B55CD7-FAF9-E848-92B8-669AF916E9D9}" id="{CB92CFB7-30DA-5C43-9CD1-04FD467280AB}">
    <text>Tax payments related to financing activities, earn-outs summed directly from CFS</text>
  </threadedComment>
</ThreadedComments>
</file>

<file path=xl/threadedComments/threadedComment4.xml><?xml version="1.0" encoding="utf-8"?>
<ThreadedComments xmlns="http://schemas.microsoft.com/office/spreadsheetml/2018/threadedcomments" xmlns:x="http://schemas.openxmlformats.org/spreadsheetml/2006/main">
  <threadedComment ref="B49" dT="2025-04-19T15:57:34.85" personId="{61B55CD7-FAF9-E848-92B8-669AF916E9D9}" id="{4D6C1D05-058C-9641-82D8-226E4B5DE3CF}">
    <text>Includes all other small/one time adjustments, summed directly from CFS</text>
  </threadedComment>
  <threadedComment ref="B66" dT="2025-04-19T16:12:53.53" personId="{61B55CD7-FAF9-E848-92B8-669AF916E9D9}" id="{40219B06-B31D-074D-B3CC-CB717735536E}">
    <text>Tax payments related to financing activities, earn-outs summed directly from CFS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5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3.xml"/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1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4.xml"/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64"/>
  <sheetViews>
    <sheetView showGridLines="0" tabSelected="1" zoomScale="130" zoomScaleNormal="130" workbookViewId="0"/>
  </sheetViews>
  <sheetFormatPr baseColWidth="10" defaultColWidth="8.83203125" defaultRowHeight="15" x14ac:dyDescent="0.2"/>
  <cols>
    <col min="1" max="1" width="1.83203125" customWidth="1"/>
    <col min="2" max="2" width="24.5" bestFit="1" customWidth="1"/>
    <col min="3" max="3" width="11.1640625" bestFit="1" customWidth="1"/>
    <col min="4" max="4" width="8.83203125" customWidth="1"/>
    <col min="5" max="22" width="11.1640625" bestFit="1" customWidth="1"/>
  </cols>
  <sheetData>
    <row r="1" spans="1:22" x14ac:dyDescent="0.2">
      <c r="A1" s="7" t="s">
        <v>537</v>
      </c>
    </row>
    <row r="2" spans="1:22" x14ac:dyDescent="0.2">
      <c r="C2" s="173" t="s">
        <v>0</v>
      </c>
      <c r="D2" s="173" t="s">
        <v>1</v>
      </c>
    </row>
    <row r="3" spans="1:22" x14ac:dyDescent="0.2">
      <c r="B3" t="s">
        <v>2</v>
      </c>
      <c r="C3" s="84">
        <v>0.10299999999999999</v>
      </c>
      <c r="D3" s="86">
        <f>(1+C3)^(1/4)-1</f>
        <v>2.4811235423036315E-2</v>
      </c>
    </row>
    <row r="4" spans="1:22" x14ac:dyDescent="0.2">
      <c r="B4" t="s">
        <v>3</v>
      </c>
      <c r="C4" s="89">
        <v>0.03</v>
      </c>
      <c r="D4" s="86">
        <f>(1+C4)^(1/4)-1</f>
        <v>7.4170717777328754E-3</v>
      </c>
    </row>
    <row r="6" spans="1:22" x14ac:dyDescent="0.2">
      <c r="B6" s="97" t="s">
        <v>4</v>
      </c>
      <c r="C6" s="93"/>
      <c r="D6" s="93"/>
      <c r="E6" s="93"/>
      <c r="F6" s="176" t="s">
        <v>519</v>
      </c>
      <c r="G6" s="176"/>
    </row>
    <row r="7" spans="1:22" x14ac:dyDescent="0.2">
      <c r="B7" t="s">
        <v>5</v>
      </c>
      <c r="C7" s="179" t="s">
        <v>6</v>
      </c>
      <c r="D7" s="179"/>
      <c r="F7" s="180">
        <f>'Sell Side Ests'!H4</f>
        <v>103.417</v>
      </c>
      <c r="G7" s="180"/>
    </row>
    <row r="8" spans="1:22" x14ac:dyDescent="0.2">
      <c r="B8" t="s">
        <v>7</v>
      </c>
      <c r="C8" s="179" t="s">
        <v>8</v>
      </c>
      <c r="D8" s="179"/>
    </row>
    <row r="9" spans="1:22" x14ac:dyDescent="0.2">
      <c r="B9" t="s">
        <v>9</v>
      </c>
      <c r="C9" s="179" t="s">
        <v>10</v>
      </c>
      <c r="D9" s="179"/>
    </row>
    <row r="10" spans="1:22" x14ac:dyDescent="0.2">
      <c r="B10" t="s">
        <v>11</v>
      </c>
      <c r="C10" s="179" t="s">
        <v>12</v>
      </c>
      <c r="D10" s="179"/>
    </row>
    <row r="11" spans="1:22" x14ac:dyDescent="0.2">
      <c r="B11" t="s">
        <v>13</v>
      </c>
      <c r="C11" s="179" t="s">
        <v>14</v>
      </c>
      <c r="D11" s="179"/>
    </row>
    <row r="12" spans="1:22" x14ac:dyDescent="0.2">
      <c r="B12" t="s">
        <v>15</v>
      </c>
      <c r="C12" s="179" t="s">
        <v>16</v>
      </c>
      <c r="D12" s="179"/>
    </row>
    <row r="13" spans="1:22" x14ac:dyDescent="0.2">
      <c r="B13" t="s">
        <v>17</v>
      </c>
      <c r="C13" s="179" t="s">
        <v>18</v>
      </c>
      <c r="D13" s="179"/>
    </row>
    <row r="14" spans="1:22" x14ac:dyDescent="0.2">
      <c r="B14" t="s">
        <v>19</v>
      </c>
      <c r="C14" s="179">
        <v>25</v>
      </c>
      <c r="D14" s="179"/>
    </row>
    <row r="15" spans="1:22" x14ac:dyDescent="0.2">
      <c r="C15" s="22"/>
    </row>
    <row r="16" spans="1:22" x14ac:dyDescent="0.2">
      <c r="B16" s="178" t="s">
        <v>522</v>
      </c>
      <c r="C16" s="178"/>
      <c r="D16" s="178"/>
      <c r="E16" s="178"/>
      <c r="F16" s="178"/>
      <c r="G16" s="178"/>
      <c r="H16" s="178"/>
      <c r="I16" s="178"/>
      <c r="J16" s="178"/>
      <c r="K16" s="178"/>
      <c r="L16" s="178"/>
      <c r="M16" s="178"/>
      <c r="N16" s="178"/>
      <c r="O16" s="178"/>
      <c r="P16" s="178"/>
      <c r="Q16" s="178"/>
      <c r="R16" s="178"/>
      <c r="S16" s="178"/>
      <c r="T16" s="178"/>
      <c r="U16" s="178"/>
      <c r="V16" s="178"/>
    </row>
    <row r="17" spans="2:22" x14ac:dyDescent="0.2">
      <c r="C17" s="143"/>
    </row>
    <row r="18" spans="2:22" x14ac:dyDescent="0.2">
      <c r="B18" s="177" t="s">
        <v>455</v>
      </c>
      <c r="C18" s="177"/>
      <c r="D18" s="177"/>
      <c r="E18" s="177"/>
      <c r="F18" s="177"/>
      <c r="G18" s="177"/>
      <c r="H18" s="177"/>
      <c r="I18" s="177"/>
      <c r="J18" s="177"/>
      <c r="K18" s="177"/>
      <c r="L18" s="177"/>
      <c r="M18" s="177"/>
      <c r="N18" s="177"/>
      <c r="O18" s="177"/>
      <c r="P18" s="177"/>
      <c r="Q18" s="177"/>
      <c r="R18" s="177"/>
      <c r="S18" s="177"/>
      <c r="T18" s="177"/>
      <c r="U18" s="177"/>
      <c r="V18" s="177"/>
    </row>
    <row r="19" spans="2:22" x14ac:dyDescent="0.2">
      <c r="B19" s="93"/>
      <c r="C19" s="176">
        <v>2025</v>
      </c>
      <c r="D19" s="176"/>
      <c r="E19" s="176"/>
      <c r="F19" s="176"/>
      <c r="G19" s="176">
        <v>2026</v>
      </c>
      <c r="H19" s="176"/>
      <c r="I19" s="176"/>
      <c r="J19" s="176"/>
      <c r="K19" s="176">
        <v>2027</v>
      </c>
      <c r="L19" s="176"/>
      <c r="M19" s="176"/>
      <c r="N19" s="176"/>
      <c r="O19" s="176">
        <v>2028</v>
      </c>
      <c r="P19" s="176"/>
      <c r="Q19" s="176"/>
      <c r="R19" s="176"/>
      <c r="S19" s="176">
        <v>2029</v>
      </c>
      <c r="T19" s="176"/>
      <c r="U19" s="176"/>
      <c r="V19" s="176"/>
    </row>
    <row r="20" spans="2:22" x14ac:dyDescent="0.2">
      <c r="B20" s="97" t="s">
        <v>20</v>
      </c>
      <c r="C20" s="98" t="s">
        <v>21</v>
      </c>
      <c r="D20" s="98" t="s">
        <v>22</v>
      </c>
      <c r="E20" s="98" t="s">
        <v>23</v>
      </c>
      <c r="F20" s="98" t="s">
        <v>24</v>
      </c>
      <c r="G20" s="98" t="s">
        <v>21</v>
      </c>
      <c r="H20" s="98" t="s">
        <v>22</v>
      </c>
      <c r="I20" s="98" t="s">
        <v>23</v>
      </c>
      <c r="J20" s="98" t="s">
        <v>24</v>
      </c>
      <c r="K20" s="98" t="s">
        <v>21</v>
      </c>
      <c r="L20" s="98" t="s">
        <v>22</v>
      </c>
      <c r="M20" s="98" t="s">
        <v>23</v>
      </c>
      <c r="N20" s="98" t="s">
        <v>24</v>
      </c>
      <c r="O20" s="98" t="s">
        <v>21</v>
      </c>
      <c r="P20" s="98" t="s">
        <v>22</v>
      </c>
      <c r="Q20" s="98" t="s">
        <v>23</v>
      </c>
      <c r="R20" s="98" t="s">
        <v>24</v>
      </c>
      <c r="S20" s="98" t="s">
        <v>21</v>
      </c>
      <c r="T20" s="98" t="s">
        <v>22</v>
      </c>
      <c r="U20" s="98" t="s">
        <v>23</v>
      </c>
      <c r="V20" s="98" t="s">
        <v>24</v>
      </c>
    </row>
    <row r="21" spans="2:22" x14ac:dyDescent="0.2">
      <c r="B21" t="s">
        <v>25</v>
      </c>
      <c r="C21" s="84">
        <v>0.03</v>
      </c>
      <c r="D21" s="84">
        <v>0.03</v>
      </c>
      <c r="E21" s="84">
        <v>0.03</v>
      </c>
      <c r="F21" s="84">
        <v>0.03</v>
      </c>
      <c r="G21" s="84">
        <v>0.02</v>
      </c>
      <c r="H21" s="84">
        <v>0.02</v>
      </c>
      <c r="I21" s="84">
        <v>0.02</v>
      </c>
      <c r="J21" s="84">
        <v>0.02</v>
      </c>
      <c r="K21" s="84">
        <v>1.7500000000000002E-2</v>
      </c>
      <c r="L21" s="84">
        <v>1.7500000000000002E-2</v>
      </c>
      <c r="M21" s="84">
        <v>1.7500000000000002E-2</v>
      </c>
      <c r="N21" s="84">
        <v>1.7500000000000002E-2</v>
      </c>
      <c r="O21" s="84">
        <v>0.01</v>
      </c>
      <c r="P21" s="84">
        <v>0.01</v>
      </c>
      <c r="Q21" s="84">
        <v>0.01</v>
      </c>
      <c r="R21" s="84">
        <v>0.01</v>
      </c>
      <c r="S21" s="158">
        <v>7.4999999999999997E-3</v>
      </c>
      <c r="T21" s="158">
        <v>7.4999999999999997E-3</v>
      </c>
      <c r="U21" s="158">
        <v>7.4999999999999997E-3</v>
      </c>
      <c r="V21" s="158">
        <v>7.4999999999999997E-3</v>
      </c>
    </row>
    <row r="22" spans="2:22" x14ac:dyDescent="0.2">
      <c r="B22" t="s">
        <v>26</v>
      </c>
      <c r="C22" s="96">
        <v>3</v>
      </c>
      <c r="D22" s="96">
        <v>4</v>
      </c>
      <c r="E22" s="96">
        <v>7</v>
      </c>
      <c r="F22" s="96">
        <v>11</v>
      </c>
      <c r="G22" s="96">
        <v>3</v>
      </c>
      <c r="H22" s="96">
        <v>4</v>
      </c>
      <c r="I22" s="96">
        <v>7</v>
      </c>
      <c r="J22" s="96">
        <v>11</v>
      </c>
      <c r="K22" s="96">
        <v>3</v>
      </c>
      <c r="L22" s="96">
        <v>4</v>
      </c>
      <c r="M22" s="96">
        <v>7</v>
      </c>
      <c r="N22" s="96">
        <v>11</v>
      </c>
      <c r="O22" s="96">
        <v>3</v>
      </c>
      <c r="P22" s="96">
        <v>4</v>
      </c>
      <c r="Q22" s="96">
        <v>7</v>
      </c>
      <c r="R22" s="96">
        <v>11</v>
      </c>
      <c r="S22" s="96">
        <v>3</v>
      </c>
      <c r="T22" s="96">
        <v>4</v>
      </c>
      <c r="U22" s="96">
        <v>7</v>
      </c>
      <c r="V22" s="96">
        <v>11</v>
      </c>
    </row>
    <row r="23" spans="2:22" x14ac:dyDescent="0.2">
      <c r="B23" t="s">
        <v>27</v>
      </c>
      <c r="C23" s="56">
        <f>'Financial Statements &amp; Metrics'!N4+'Assumptions &amp; Drivers'!C22</f>
        <v>254</v>
      </c>
      <c r="D23" s="56">
        <f>C23+D22</f>
        <v>258</v>
      </c>
      <c r="E23" s="56">
        <f t="shared" ref="E23:V23" si="0">D23+E22</f>
        <v>265</v>
      </c>
      <c r="F23" s="56">
        <f t="shared" si="0"/>
        <v>276</v>
      </c>
      <c r="G23" s="56">
        <f t="shared" si="0"/>
        <v>279</v>
      </c>
      <c r="H23" s="56">
        <f t="shared" si="0"/>
        <v>283</v>
      </c>
      <c r="I23" s="56">
        <f t="shared" si="0"/>
        <v>290</v>
      </c>
      <c r="J23" s="56">
        <f t="shared" si="0"/>
        <v>301</v>
      </c>
      <c r="K23" s="56">
        <f t="shared" si="0"/>
        <v>304</v>
      </c>
      <c r="L23" s="56">
        <f t="shared" si="0"/>
        <v>308</v>
      </c>
      <c r="M23" s="56">
        <f t="shared" si="0"/>
        <v>315</v>
      </c>
      <c r="N23" s="56">
        <f t="shared" si="0"/>
        <v>326</v>
      </c>
      <c r="O23" s="56">
        <f t="shared" si="0"/>
        <v>329</v>
      </c>
      <c r="P23" s="56">
        <f t="shared" si="0"/>
        <v>333</v>
      </c>
      <c r="Q23" s="56">
        <f t="shared" si="0"/>
        <v>340</v>
      </c>
      <c r="R23" s="56">
        <f t="shared" si="0"/>
        <v>351</v>
      </c>
      <c r="S23" s="56">
        <f t="shared" si="0"/>
        <v>354</v>
      </c>
      <c r="T23" s="56">
        <f t="shared" si="0"/>
        <v>358</v>
      </c>
      <c r="U23" s="56">
        <f t="shared" si="0"/>
        <v>365</v>
      </c>
      <c r="V23" s="56">
        <f t="shared" si="0"/>
        <v>376</v>
      </c>
    </row>
    <row r="24" spans="2:22" x14ac:dyDescent="0.2">
      <c r="C24" s="96"/>
      <c r="D24" s="96"/>
      <c r="E24" s="96"/>
      <c r="F24" s="96"/>
      <c r="G24" s="96"/>
      <c r="H24" s="96"/>
      <c r="I24" s="96"/>
      <c r="J24" s="96"/>
      <c r="K24" s="96"/>
      <c r="L24" s="96"/>
      <c r="M24" s="96"/>
      <c r="N24" s="96"/>
      <c r="O24" s="96"/>
      <c r="P24" s="96"/>
      <c r="Q24" s="96"/>
      <c r="R24" s="96"/>
      <c r="S24" s="96"/>
      <c r="T24" s="96"/>
      <c r="U24" s="96"/>
      <c r="V24" s="96"/>
    </row>
    <row r="25" spans="2:22" x14ac:dyDescent="0.2">
      <c r="B25" t="s">
        <v>28</v>
      </c>
      <c r="C25" s="84">
        <f>'Financial Statements &amp; Metrics'!$N$104</f>
        <v>0.56536568010575972</v>
      </c>
      <c r="D25" s="84">
        <f>'Financial Statements &amp; Metrics'!$N$104</f>
        <v>0.56536568010575972</v>
      </c>
      <c r="E25" s="84">
        <f>'Financial Statements &amp; Metrics'!$N$104</f>
        <v>0.56536568010575972</v>
      </c>
      <c r="F25" s="84">
        <f>'Financial Statements &amp; Metrics'!$N$104</f>
        <v>0.56536568010575972</v>
      </c>
      <c r="G25" s="84">
        <f>'Financial Statements &amp; Metrics'!$N$104</f>
        <v>0.56536568010575972</v>
      </c>
      <c r="H25" s="84">
        <f>'Financial Statements &amp; Metrics'!$N$104</f>
        <v>0.56536568010575972</v>
      </c>
      <c r="I25" s="84">
        <f>'Financial Statements &amp; Metrics'!$N$104</f>
        <v>0.56536568010575972</v>
      </c>
      <c r="J25" s="84">
        <f>'Financial Statements &amp; Metrics'!$N$104</f>
        <v>0.56536568010575972</v>
      </c>
      <c r="K25" s="84">
        <f>'Financial Statements &amp; Metrics'!$N$104</f>
        <v>0.56536568010575972</v>
      </c>
      <c r="L25" s="84">
        <f>'Financial Statements &amp; Metrics'!$N$104</f>
        <v>0.56536568010575972</v>
      </c>
      <c r="M25" s="84">
        <f>'Financial Statements &amp; Metrics'!$N$104</f>
        <v>0.56536568010575972</v>
      </c>
      <c r="N25" s="84">
        <f>'Financial Statements &amp; Metrics'!$N$104</f>
        <v>0.56536568010575972</v>
      </c>
      <c r="O25" s="84">
        <f>'Financial Statements &amp; Metrics'!$N$104</f>
        <v>0.56536568010575972</v>
      </c>
      <c r="P25" s="84">
        <f>'Financial Statements &amp; Metrics'!$N$104</f>
        <v>0.56536568010575972</v>
      </c>
      <c r="Q25" s="84">
        <f>'Financial Statements &amp; Metrics'!$N$104</f>
        <v>0.56536568010575972</v>
      </c>
      <c r="R25" s="84">
        <f>'Financial Statements &amp; Metrics'!$N$104</f>
        <v>0.56536568010575972</v>
      </c>
      <c r="S25" s="84">
        <f>'Financial Statements &amp; Metrics'!$N$104</f>
        <v>0.56536568010575972</v>
      </c>
      <c r="T25" s="84">
        <f>'Financial Statements &amp; Metrics'!$N$104</f>
        <v>0.56536568010575972</v>
      </c>
      <c r="U25" s="84">
        <f>'Financial Statements &amp; Metrics'!$N$104</f>
        <v>0.56536568010575972</v>
      </c>
      <c r="V25" s="84">
        <f>'Financial Statements &amp; Metrics'!$N$104</f>
        <v>0.56536568010575972</v>
      </c>
    </row>
    <row r="26" spans="2:22" x14ac:dyDescent="0.2">
      <c r="B26" t="s">
        <v>29</v>
      </c>
      <c r="C26" s="84">
        <f>'Financial Statements &amp; Metrics'!N106</f>
        <v>0.3811584806432271</v>
      </c>
      <c r="D26" s="84">
        <f>C26-(($C$26-$V$26)/19)</f>
        <v>0.37927518490247636</v>
      </c>
      <c r="E26" s="84">
        <f t="shared" ref="E26:U26" si="1">D26-(($C$26-$V$26)/19)</f>
        <v>0.37739188916172561</v>
      </c>
      <c r="F26" s="84">
        <f t="shared" si="1"/>
        <v>0.37550859342097487</v>
      </c>
      <c r="G26" s="84">
        <f t="shared" si="1"/>
        <v>0.37362529768022412</v>
      </c>
      <c r="H26" s="84">
        <f t="shared" si="1"/>
        <v>0.37174200193947338</v>
      </c>
      <c r="I26" s="84">
        <f t="shared" si="1"/>
        <v>0.36985870619872263</v>
      </c>
      <c r="J26" s="84">
        <f t="shared" si="1"/>
        <v>0.36797541045797189</v>
      </c>
      <c r="K26" s="84">
        <f t="shared" si="1"/>
        <v>0.36609211471722114</v>
      </c>
      <c r="L26" s="84">
        <f t="shared" si="1"/>
        <v>0.36420881897647039</v>
      </c>
      <c r="M26" s="84">
        <f t="shared" si="1"/>
        <v>0.36232552323571965</v>
      </c>
      <c r="N26" s="84">
        <f t="shared" si="1"/>
        <v>0.3604422274949689</v>
      </c>
      <c r="O26" s="84">
        <f t="shared" si="1"/>
        <v>0.35855893175421816</v>
      </c>
      <c r="P26" s="84">
        <f t="shared" si="1"/>
        <v>0.35667563601346741</v>
      </c>
      <c r="Q26" s="84">
        <f t="shared" si="1"/>
        <v>0.35479234027271667</v>
      </c>
      <c r="R26" s="84">
        <f t="shared" si="1"/>
        <v>0.35290904453196592</v>
      </c>
      <c r="S26" s="84">
        <f t="shared" si="1"/>
        <v>0.35102574879121518</v>
      </c>
      <c r="T26" s="84">
        <f t="shared" si="1"/>
        <v>0.34914245305046443</v>
      </c>
      <c r="U26" s="84">
        <f t="shared" si="1"/>
        <v>0.34725915730971368</v>
      </c>
      <c r="V26" s="84">
        <f>'Financial Statements &amp; Metrics'!P106</f>
        <v>0.34537586156896244</v>
      </c>
    </row>
    <row r="27" spans="2:22" x14ac:dyDescent="0.2">
      <c r="B27" t="s">
        <v>30</v>
      </c>
      <c r="C27" s="84">
        <v>0.05</v>
      </c>
      <c r="D27" s="84">
        <v>0.05</v>
      </c>
      <c r="E27" s="84">
        <v>0.05</v>
      </c>
      <c r="F27" s="84">
        <v>0.05</v>
      </c>
      <c r="G27" s="84">
        <v>0.05</v>
      </c>
      <c r="H27" s="84">
        <v>0.05</v>
      </c>
      <c r="I27" s="84">
        <v>0.05</v>
      </c>
      <c r="J27" s="84">
        <v>0.05</v>
      </c>
      <c r="K27" s="84">
        <v>0.05</v>
      </c>
      <c r="L27" s="84">
        <v>0.05</v>
      </c>
      <c r="M27" s="84">
        <v>0.05</v>
      </c>
      <c r="N27" s="84">
        <v>0.05</v>
      </c>
      <c r="O27" s="84">
        <v>0.05</v>
      </c>
      <c r="P27" s="84">
        <v>0.05</v>
      </c>
      <c r="Q27" s="84">
        <v>0.05</v>
      </c>
      <c r="R27" s="84">
        <v>0.05</v>
      </c>
      <c r="S27" s="84">
        <v>0.05</v>
      </c>
      <c r="T27" s="84">
        <v>0.05</v>
      </c>
      <c r="U27" s="84">
        <v>0.05</v>
      </c>
      <c r="V27" s="84">
        <v>0.05</v>
      </c>
    </row>
    <row r="28" spans="2:22" x14ac:dyDescent="0.2">
      <c r="B28" t="s">
        <v>31</v>
      </c>
      <c r="C28" s="94">
        <v>0.215</v>
      </c>
      <c r="D28" s="94">
        <v>0.215</v>
      </c>
      <c r="E28" s="94">
        <v>0.215</v>
      </c>
      <c r="F28" s="94">
        <v>0.215</v>
      </c>
      <c r="G28" s="84">
        <f>'Financial Statements &amp; Metrics'!$P$113</f>
        <v>0.20644366131306424</v>
      </c>
      <c r="H28" s="84">
        <f>'Financial Statements &amp; Metrics'!$P$113</f>
        <v>0.20644366131306424</v>
      </c>
      <c r="I28" s="84">
        <f>'Financial Statements &amp; Metrics'!$P$113</f>
        <v>0.20644366131306424</v>
      </c>
      <c r="J28" s="84">
        <f>'Financial Statements &amp; Metrics'!$P$113</f>
        <v>0.20644366131306424</v>
      </c>
      <c r="K28" s="84">
        <f>'Financial Statements &amp; Metrics'!$P$113</f>
        <v>0.20644366131306424</v>
      </c>
      <c r="L28" s="84">
        <f>'Financial Statements &amp; Metrics'!$P$113</f>
        <v>0.20644366131306424</v>
      </c>
      <c r="M28" s="84">
        <f>'Financial Statements &amp; Metrics'!$P$113</f>
        <v>0.20644366131306424</v>
      </c>
      <c r="N28" s="84">
        <f>'Financial Statements &amp; Metrics'!$P$113</f>
        <v>0.20644366131306424</v>
      </c>
      <c r="O28" s="84">
        <f>'Financial Statements &amp; Metrics'!$P$113</f>
        <v>0.20644366131306424</v>
      </c>
      <c r="P28" s="84">
        <f>'Financial Statements &amp; Metrics'!$P$113</f>
        <v>0.20644366131306424</v>
      </c>
      <c r="Q28" s="84">
        <f>'Financial Statements &amp; Metrics'!$P$113</f>
        <v>0.20644366131306424</v>
      </c>
      <c r="R28" s="84">
        <f>'Financial Statements &amp; Metrics'!$P$113</f>
        <v>0.20644366131306424</v>
      </c>
      <c r="S28" s="84">
        <f>'Financial Statements &amp; Metrics'!$P$113</f>
        <v>0.20644366131306424</v>
      </c>
      <c r="T28" s="84">
        <f>'Financial Statements &amp; Metrics'!$P$113</f>
        <v>0.20644366131306424</v>
      </c>
      <c r="U28" s="84">
        <f>'Financial Statements &amp; Metrics'!$P$113</f>
        <v>0.20644366131306424</v>
      </c>
      <c r="V28" s="84">
        <f>'Financial Statements &amp; Metrics'!$P$113</f>
        <v>0.20644366131306424</v>
      </c>
    </row>
    <row r="30" spans="2:22" x14ac:dyDescent="0.2">
      <c r="B30" t="s">
        <v>32</v>
      </c>
      <c r="C30" s="96">
        <v>1.01</v>
      </c>
      <c r="D30" s="96">
        <v>0.99</v>
      </c>
      <c r="E30" s="96">
        <v>0.98</v>
      </c>
      <c r="F30" s="96">
        <v>1.02</v>
      </c>
      <c r="G30" s="96">
        <v>1.01</v>
      </c>
      <c r="H30" s="96">
        <v>0.99</v>
      </c>
      <c r="I30" s="96">
        <v>0.98</v>
      </c>
      <c r="J30" s="96">
        <v>1.02</v>
      </c>
      <c r="K30" s="96">
        <v>1.01</v>
      </c>
      <c r="L30" s="96">
        <v>0.99</v>
      </c>
      <c r="M30" s="96">
        <v>0.98</v>
      </c>
      <c r="N30" s="96">
        <v>1.02</v>
      </c>
      <c r="O30" s="96">
        <v>1.01</v>
      </c>
      <c r="P30" s="96">
        <v>0.99</v>
      </c>
      <c r="Q30" s="96">
        <v>0.98</v>
      </c>
      <c r="R30" s="96">
        <v>1.02</v>
      </c>
      <c r="S30" s="96">
        <v>1.01</v>
      </c>
      <c r="T30" s="96">
        <v>0.99</v>
      </c>
      <c r="U30" s="96">
        <v>0.98</v>
      </c>
      <c r="V30" s="96">
        <v>1.02</v>
      </c>
    </row>
    <row r="31" spans="2:22" x14ac:dyDescent="0.2">
      <c r="B31" t="s">
        <v>33</v>
      </c>
      <c r="C31" s="104">
        <f>DCF!D14*0.025*C30</f>
        <v>28801.121619999998</v>
      </c>
      <c r="D31" s="104">
        <f>DCF!E14*0.025*D30</f>
        <v>29077.726451400002</v>
      </c>
      <c r="E31" s="104">
        <f>DCF!F14*0.025*E30</f>
        <v>29647.532404084002</v>
      </c>
      <c r="F31" s="104">
        <f>DCF!G14*0.025*F30</f>
        <v>31783.364840541486</v>
      </c>
      <c r="G31" s="104">
        <f>DCF!H14*0.025*G30</f>
        <v>32101.198488946902</v>
      </c>
      <c r="H31" s="104">
        <f>DCF!I14*0.025*H30</f>
        <v>32094.841815978794</v>
      </c>
      <c r="I31" s="104">
        <f>DCF!J14*0.025*I30</f>
        <v>32406.064524497378</v>
      </c>
      <c r="J31" s="104">
        <f>DCF!K14*0.025*J30</f>
        <v>34403.336256415372</v>
      </c>
      <c r="K31" s="104">
        <f>DCF!L14*0.025*K30</f>
        <v>34662.204497364386</v>
      </c>
      <c r="L31" s="104">
        <f>DCF!M14*0.025*L30</f>
        <v>34570.401133967905</v>
      </c>
      <c r="M31" s="104">
        <f>DCF!N14*0.025*M30</f>
        <v>34820.076253268788</v>
      </c>
      <c r="N31" s="104">
        <f>DCF!O14*0.025*N30</f>
        <v>36875.526672913285</v>
      </c>
      <c r="O31" s="104">
        <f>DCF!P14*0.025*O30</f>
        <v>36879.141920626309</v>
      </c>
      <c r="P31" s="104">
        <f>DCF!Q14*0.025*P30</f>
        <v>36510.350501420049</v>
      </c>
      <c r="Q31" s="104">
        <f>DCF!R14*0.025*Q30</f>
        <v>36502.974673035926</v>
      </c>
      <c r="R31" s="104">
        <f>DCF!S14*0.025*R30</f>
        <v>38372.820926695524</v>
      </c>
      <c r="S31" s="104">
        <f>DCF!T14*0.025*S30</f>
        <v>38281.591425962943</v>
      </c>
      <c r="T31" s="104">
        <f>DCF!U14*0.025*T30</f>
        <v>37804.966661426821</v>
      </c>
      <c r="U31" s="104">
        <f>DCF!V14*0.025*U30</f>
        <v>37703.771548646233</v>
      </c>
      <c r="V31" s="104">
        <f>DCF!W14*0.025*V30</f>
        <v>39537.021257108478</v>
      </c>
    </row>
    <row r="32" spans="2:22" x14ac:dyDescent="0.2">
      <c r="B32" t="s">
        <v>34</v>
      </c>
      <c r="C32" s="83">
        <f>C31-'Financial Statements &amp; Metrics'!N$70</f>
        <v>-12090.878380000002</v>
      </c>
      <c r="D32" s="83">
        <f>D31-C31</f>
        <v>276.6048314000036</v>
      </c>
      <c r="E32" s="83">
        <f t="shared" ref="E32:V32" si="2">E31-D31</f>
        <v>569.80595268400066</v>
      </c>
      <c r="F32" s="83">
        <f t="shared" si="2"/>
        <v>2135.8324364574837</v>
      </c>
      <c r="G32" s="83">
        <f t="shared" si="2"/>
        <v>317.83364840541617</v>
      </c>
      <c r="H32" s="83">
        <f t="shared" si="2"/>
        <v>-6.3566729681078868</v>
      </c>
      <c r="I32" s="83">
        <f t="shared" si="2"/>
        <v>311.22270851858411</v>
      </c>
      <c r="J32" s="83">
        <f t="shared" si="2"/>
        <v>1997.2717319179937</v>
      </c>
      <c r="K32" s="83">
        <f t="shared" si="2"/>
        <v>258.86824094901385</v>
      </c>
      <c r="L32" s="83">
        <f t="shared" si="2"/>
        <v>-91.803363396480563</v>
      </c>
      <c r="M32" s="83">
        <f t="shared" si="2"/>
        <v>249.67511930088222</v>
      </c>
      <c r="N32" s="83">
        <f t="shared" si="2"/>
        <v>2055.4504196444977</v>
      </c>
      <c r="O32" s="83">
        <f t="shared" si="2"/>
        <v>3.6152477130235638</v>
      </c>
      <c r="P32" s="83">
        <f t="shared" si="2"/>
        <v>-368.79141920625989</v>
      </c>
      <c r="Q32" s="83">
        <f t="shared" si="2"/>
        <v>-7.3758283841234515</v>
      </c>
      <c r="R32" s="83">
        <f t="shared" si="2"/>
        <v>1869.846253659598</v>
      </c>
      <c r="S32" s="83">
        <f t="shared" si="2"/>
        <v>-91.229500732581073</v>
      </c>
      <c r="T32" s="83">
        <f t="shared" si="2"/>
        <v>-476.6247645361218</v>
      </c>
      <c r="U32" s="83">
        <f t="shared" si="2"/>
        <v>-101.19511278058781</v>
      </c>
      <c r="V32" s="83">
        <f t="shared" si="2"/>
        <v>1833.2497084622446</v>
      </c>
    </row>
    <row r="34" spans="2:22" x14ac:dyDescent="0.2">
      <c r="B34" s="177" t="s">
        <v>520</v>
      </c>
      <c r="C34" s="177"/>
      <c r="D34" s="177"/>
      <c r="E34" s="177"/>
      <c r="F34" s="177"/>
      <c r="G34" s="177"/>
      <c r="H34" s="177"/>
      <c r="I34" s="177"/>
      <c r="J34" s="177"/>
      <c r="K34" s="177"/>
      <c r="L34" s="177"/>
      <c r="M34" s="177"/>
      <c r="N34" s="177"/>
      <c r="O34" s="177"/>
      <c r="P34" s="177"/>
      <c r="Q34" s="177"/>
      <c r="R34" s="177"/>
      <c r="S34" s="177"/>
      <c r="T34" s="177"/>
      <c r="U34" s="177"/>
      <c r="V34" s="177"/>
    </row>
    <row r="35" spans="2:22" x14ac:dyDescent="0.2">
      <c r="B35" s="93"/>
      <c r="C35" s="176">
        <v>2025</v>
      </c>
      <c r="D35" s="176"/>
      <c r="E35" s="176"/>
      <c r="F35" s="176"/>
      <c r="G35" s="176">
        <v>2026</v>
      </c>
      <c r="H35" s="176"/>
      <c r="I35" s="176"/>
      <c r="J35" s="176"/>
      <c r="K35" s="176">
        <v>2027</v>
      </c>
      <c r="L35" s="176"/>
      <c r="M35" s="176"/>
      <c r="N35" s="176"/>
      <c r="O35" s="176">
        <v>2028</v>
      </c>
      <c r="P35" s="176"/>
      <c r="Q35" s="176"/>
      <c r="R35" s="176"/>
      <c r="S35" s="176">
        <v>2029</v>
      </c>
      <c r="T35" s="176"/>
      <c r="U35" s="176"/>
      <c r="V35" s="176"/>
    </row>
    <row r="36" spans="2:22" x14ac:dyDescent="0.2">
      <c r="B36" s="97" t="s">
        <v>20</v>
      </c>
      <c r="C36" s="98" t="s">
        <v>21</v>
      </c>
      <c r="D36" s="98" t="s">
        <v>22</v>
      </c>
      <c r="E36" s="98" t="s">
        <v>23</v>
      </c>
      <c r="F36" s="98" t="s">
        <v>24</v>
      </c>
      <c r="G36" s="98" t="s">
        <v>21</v>
      </c>
      <c r="H36" s="98" t="s">
        <v>22</v>
      </c>
      <c r="I36" s="98" t="s">
        <v>23</v>
      </c>
      <c r="J36" s="98" t="s">
        <v>24</v>
      </c>
      <c r="K36" s="98" t="s">
        <v>21</v>
      </c>
      <c r="L36" s="98" t="s">
        <v>22</v>
      </c>
      <c r="M36" s="98" t="s">
        <v>23</v>
      </c>
      <c r="N36" s="98" t="s">
        <v>24</v>
      </c>
      <c r="O36" s="98" t="s">
        <v>21</v>
      </c>
      <c r="P36" s="98" t="s">
        <v>22</v>
      </c>
      <c r="Q36" s="98" t="s">
        <v>23</v>
      </c>
      <c r="R36" s="98" t="s">
        <v>24</v>
      </c>
      <c r="S36" s="98" t="s">
        <v>21</v>
      </c>
      <c r="T36" s="98" t="s">
        <v>22</v>
      </c>
      <c r="U36" s="98" t="s">
        <v>23</v>
      </c>
      <c r="V36" s="98" t="s">
        <v>24</v>
      </c>
    </row>
    <row r="37" spans="2:22" x14ac:dyDescent="0.2">
      <c r="B37" t="s">
        <v>25</v>
      </c>
      <c r="C37" s="84">
        <v>3.5000000000000003E-2</v>
      </c>
      <c r="D37" s="84">
        <v>3.5000000000000003E-2</v>
      </c>
      <c r="E37" s="84">
        <v>3.5000000000000003E-2</v>
      </c>
      <c r="F37" s="84">
        <v>3.5000000000000003E-2</v>
      </c>
      <c r="G37" s="84">
        <v>2.5000000000000001E-2</v>
      </c>
      <c r="H37" s="84">
        <v>2.5000000000000001E-2</v>
      </c>
      <c r="I37" s="84">
        <v>2.5000000000000001E-2</v>
      </c>
      <c r="J37" s="84">
        <v>2.5000000000000001E-2</v>
      </c>
      <c r="K37" s="84">
        <v>2.5000000000000001E-2</v>
      </c>
      <c r="L37" s="84">
        <v>2.5000000000000001E-2</v>
      </c>
      <c r="M37" s="84">
        <v>2.5000000000000001E-2</v>
      </c>
      <c r="N37" s="84">
        <v>2.5000000000000001E-2</v>
      </c>
      <c r="O37" s="84">
        <v>2.5000000000000001E-2</v>
      </c>
      <c r="P37" s="84">
        <v>2.5000000000000001E-2</v>
      </c>
      <c r="Q37" s="84">
        <v>2.5000000000000001E-2</v>
      </c>
      <c r="R37" s="84">
        <v>2.5000000000000001E-2</v>
      </c>
      <c r="S37" s="84">
        <v>2.5000000000000001E-2</v>
      </c>
      <c r="T37" s="84">
        <v>2.5000000000000001E-2</v>
      </c>
      <c r="U37" s="84">
        <v>2.5000000000000001E-2</v>
      </c>
      <c r="V37" s="84">
        <v>2.5000000000000001E-2</v>
      </c>
    </row>
    <row r="38" spans="2:22" x14ac:dyDescent="0.2">
      <c r="B38" t="s">
        <v>26</v>
      </c>
      <c r="C38" s="96">
        <v>3</v>
      </c>
      <c r="D38" s="96">
        <v>4</v>
      </c>
      <c r="E38" s="96">
        <v>7</v>
      </c>
      <c r="F38" s="96">
        <v>11</v>
      </c>
      <c r="G38" s="96">
        <v>3</v>
      </c>
      <c r="H38" s="96">
        <v>4</v>
      </c>
      <c r="I38" s="96">
        <v>7</v>
      </c>
      <c r="J38" s="96">
        <v>11</v>
      </c>
      <c r="K38" s="96">
        <v>3</v>
      </c>
      <c r="L38" s="96">
        <v>4</v>
      </c>
      <c r="M38" s="96">
        <v>7</v>
      </c>
      <c r="N38" s="96">
        <v>11</v>
      </c>
      <c r="O38" s="96">
        <v>3</v>
      </c>
      <c r="P38" s="96">
        <v>4</v>
      </c>
      <c r="Q38" s="96">
        <v>7</v>
      </c>
      <c r="R38" s="96">
        <v>11</v>
      </c>
      <c r="S38" s="96">
        <v>3</v>
      </c>
      <c r="T38" s="96">
        <v>4</v>
      </c>
      <c r="U38" s="96">
        <v>7</v>
      </c>
      <c r="V38" s="96">
        <v>11</v>
      </c>
    </row>
    <row r="39" spans="2:22" x14ac:dyDescent="0.2">
      <c r="B39" t="s">
        <v>27</v>
      </c>
      <c r="C39" s="56">
        <f>'Financial Statements &amp; Metrics'!N4+'Assumptions &amp; Drivers'!C38</f>
        <v>254</v>
      </c>
      <c r="D39" s="56">
        <f>C39+D38</f>
        <v>258</v>
      </c>
      <c r="E39" s="56">
        <f t="shared" ref="E39" si="3">D39+E38</f>
        <v>265</v>
      </c>
      <c r="F39" s="56">
        <f t="shared" ref="F39" si="4">E39+F38</f>
        <v>276</v>
      </c>
      <c r="G39" s="56">
        <f t="shared" ref="G39" si="5">F39+G38</f>
        <v>279</v>
      </c>
      <c r="H39" s="56">
        <f t="shared" ref="H39" si="6">G39+H38</f>
        <v>283</v>
      </c>
      <c r="I39" s="56">
        <f t="shared" ref="I39" si="7">H39+I38</f>
        <v>290</v>
      </c>
      <c r="J39" s="56">
        <f t="shared" ref="J39" si="8">I39+J38</f>
        <v>301</v>
      </c>
      <c r="K39" s="56">
        <f t="shared" ref="K39" si="9">J39+K38</f>
        <v>304</v>
      </c>
      <c r="L39" s="56">
        <f t="shared" ref="L39" si="10">K39+L38</f>
        <v>308</v>
      </c>
      <c r="M39" s="56">
        <f t="shared" ref="M39" si="11">L39+M38</f>
        <v>315</v>
      </c>
      <c r="N39" s="56">
        <f t="shared" ref="N39" si="12">M39+N38</f>
        <v>326</v>
      </c>
      <c r="O39" s="56">
        <f t="shared" ref="O39" si="13">N39+O38</f>
        <v>329</v>
      </c>
      <c r="P39" s="56">
        <f t="shared" ref="P39" si="14">O39+P38</f>
        <v>333</v>
      </c>
      <c r="Q39" s="56">
        <f t="shared" ref="Q39" si="15">P39+Q38</f>
        <v>340</v>
      </c>
      <c r="R39" s="56">
        <f t="shared" ref="R39" si="16">Q39+R38</f>
        <v>351</v>
      </c>
      <c r="S39" s="56">
        <f t="shared" ref="S39" si="17">R39+S38</f>
        <v>354</v>
      </c>
      <c r="T39" s="56">
        <f t="shared" ref="T39" si="18">S39+T38</f>
        <v>358</v>
      </c>
      <c r="U39" s="56">
        <f t="shared" ref="U39" si="19">T39+U38</f>
        <v>365</v>
      </c>
      <c r="V39" s="56">
        <f t="shared" ref="V39" si="20">U39+V38</f>
        <v>376</v>
      </c>
    </row>
    <row r="40" spans="2:22" x14ac:dyDescent="0.2">
      <c r="C40" s="96"/>
      <c r="D40" s="96"/>
      <c r="E40" s="96"/>
      <c r="F40" s="96"/>
      <c r="G40" s="96"/>
      <c r="H40" s="96"/>
      <c r="I40" s="96"/>
      <c r="J40" s="96"/>
      <c r="K40" s="96"/>
      <c r="L40" s="96"/>
      <c r="M40" s="96"/>
      <c r="N40" s="96"/>
      <c r="O40" s="96"/>
      <c r="P40" s="96"/>
      <c r="Q40" s="96"/>
      <c r="R40" s="96"/>
      <c r="S40" s="96"/>
      <c r="T40" s="96"/>
      <c r="U40" s="96"/>
      <c r="V40" s="96"/>
    </row>
    <row r="41" spans="2:22" x14ac:dyDescent="0.2">
      <c r="B41" t="s">
        <v>28</v>
      </c>
      <c r="C41" s="84">
        <f>'Financial Statements &amp; Metrics'!$N$104</f>
        <v>0.56536568010575972</v>
      </c>
      <c r="D41" s="84">
        <f>C41-0.0025</f>
        <v>0.56286568010575977</v>
      </c>
      <c r="E41" s="84">
        <f t="shared" ref="E41:V41" si="21">D41-0.0025</f>
        <v>0.56036568010575982</v>
      </c>
      <c r="F41" s="84">
        <f t="shared" si="21"/>
        <v>0.55786568010575988</v>
      </c>
      <c r="G41" s="84">
        <f t="shared" si="21"/>
        <v>0.55536568010575993</v>
      </c>
      <c r="H41" s="84">
        <f t="shared" si="21"/>
        <v>0.55286568010575998</v>
      </c>
      <c r="I41" s="84">
        <f t="shared" si="21"/>
        <v>0.55036568010576004</v>
      </c>
      <c r="J41" s="84">
        <f t="shared" si="21"/>
        <v>0.54786568010576009</v>
      </c>
      <c r="K41" s="84">
        <f t="shared" si="21"/>
        <v>0.54536568010576014</v>
      </c>
      <c r="L41" s="84">
        <f t="shared" si="21"/>
        <v>0.5428656801057602</v>
      </c>
      <c r="M41" s="84">
        <f t="shared" si="21"/>
        <v>0.54036568010576025</v>
      </c>
      <c r="N41" s="84">
        <f t="shared" si="21"/>
        <v>0.5378656801057603</v>
      </c>
      <c r="O41" s="84">
        <f t="shared" si="21"/>
        <v>0.53536568010576036</v>
      </c>
      <c r="P41" s="84">
        <f t="shared" si="21"/>
        <v>0.53286568010576041</v>
      </c>
      <c r="Q41" s="84">
        <f t="shared" si="21"/>
        <v>0.53036568010576046</v>
      </c>
      <c r="R41" s="84">
        <f t="shared" si="21"/>
        <v>0.52786568010576052</v>
      </c>
      <c r="S41" s="84">
        <f t="shared" si="21"/>
        <v>0.52536568010576057</v>
      </c>
      <c r="T41" s="84">
        <f t="shared" si="21"/>
        <v>0.52286568010576062</v>
      </c>
      <c r="U41" s="84">
        <f t="shared" si="21"/>
        <v>0.52036568010576068</v>
      </c>
      <c r="V41" s="84">
        <f t="shared" si="21"/>
        <v>0.51786568010576073</v>
      </c>
    </row>
    <row r="42" spans="2:22" x14ac:dyDescent="0.2">
      <c r="B42" t="s">
        <v>29</v>
      </c>
      <c r="C42" s="84">
        <f>'Financial Statements &amp; Metrics'!N$106</f>
        <v>0.3811584806432271</v>
      </c>
      <c r="D42" s="84">
        <f>C42-(($C$26-$V$26)/19)</f>
        <v>0.37927518490247636</v>
      </c>
      <c r="E42" s="84">
        <f t="shared" ref="E42" si="22">D42-(($C$26-$V$26)/19)</f>
        <v>0.37739188916172561</v>
      </c>
      <c r="F42" s="84">
        <f t="shared" ref="F42" si="23">E42-(($C$26-$V$26)/19)</f>
        <v>0.37550859342097487</v>
      </c>
      <c r="G42" s="84">
        <f t="shared" ref="G42" si="24">F42-(($C$26-$V$26)/19)</f>
        <v>0.37362529768022412</v>
      </c>
      <c r="H42" s="84">
        <f t="shared" ref="H42" si="25">G42-(($C$26-$V$26)/19)</f>
        <v>0.37174200193947338</v>
      </c>
      <c r="I42" s="84">
        <f t="shared" ref="I42" si="26">H42-(($C$26-$V$26)/19)</f>
        <v>0.36985870619872263</v>
      </c>
      <c r="J42" s="84">
        <f t="shared" ref="J42" si="27">I42-(($C$26-$V$26)/19)</f>
        <v>0.36797541045797189</v>
      </c>
      <c r="K42" s="84">
        <f t="shared" ref="K42" si="28">J42-(($C$26-$V$26)/19)</f>
        <v>0.36609211471722114</v>
      </c>
      <c r="L42" s="84">
        <f t="shared" ref="L42" si="29">K42-(($C$26-$V$26)/19)</f>
        <v>0.36420881897647039</v>
      </c>
      <c r="M42" s="84">
        <f t="shared" ref="M42" si="30">L42-(($C$26-$V$26)/19)</f>
        <v>0.36232552323571965</v>
      </c>
      <c r="N42" s="84">
        <f t="shared" ref="N42" si="31">M42-(($C$26-$V$26)/19)</f>
        <v>0.3604422274949689</v>
      </c>
      <c r="O42" s="84">
        <f t="shared" ref="O42" si="32">N42-(($C$26-$V$26)/19)</f>
        <v>0.35855893175421816</v>
      </c>
      <c r="P42" s="84">
        <f t="shared" ref="P42" si="33">O42-(($C$26-$V$26)/19)</f>
        <v>0.35667563601346741</v>
      </c>
      <c r="Q42" s="84">
        <f t="shared" ref="Q42" si="34">P42-(($C$26-$V$26)/19)</f>
        <v>0.35479234027271667</v>
      </c>
      <c r="R42" s="84">
        <f t="shared" ref="R42" si="35">Q42-(($C$26-$V$26)/19)</f>
        <v>0.35290904453196592</v>
      </c>
      <c r="S42" s="84">
        <f t="shared" ref="S42" si="36">R42-(($C$26-$V$26)/19)</f>
        <v>0.35102574879121518</v>
      </c>
      <c r="T42" s="84">
        <f t="shared" ref="T42" si="37">S42-(($C$26-$V$26)/19)</f>
        <v>0.34914245305046443</v>
      </c>
      <c r="U42" s="84">
        <f t="shared" ref="U42" si="38">T42-(($C$26-$V$26)/19)</f>
        <v>0.34725915730971368</v>
      </c>
      <c r="V42" s="84">
        <f>'Financial Statements &amp; Metrics'!P$106</f>
        <v>0.34537586156896244</v>
      </c>
    </row>
    <row r="43" spans="2:22" x14ac:dyDescent="0.2">
      <c r="B43" t="s">
        <v>30</v>
      </c>
      <c r="C43" s="84">
        <v>0.05</v>
      </c>
      <c r="D43" s="84">
        <v>0.05</v>
      </c>
      <c r="E43" s="84">
        <v>0.05</v>
      </c>
      <c r="F43" s="84">
        <v>0.05</v>
      </c>
      <c r="G43" s="84">
        <v>0.05</v>
      </c>
      <c r="H43" s="84">
        <v>0.05</v>
      </c>
      <c r="I43" s="84">
        <v>0.05</v>
      </c>
      <c r="J43" s="84">
        <v>0.05</v>
      </c>
      <c r="K43" s="84">
        <v>0.05</v>
      </c>
      <c r="L43" s="84">
        <v>0.05</v>
      </c>
      <c r="M43" s="84">
        <v>0.05</v>
      </c>
      <c r="N43" s="84">
        <v>0.05</v>
      </c>
      <c r="O43" s="84">
        <v>0.05</v>
      </c>
      <c r="P43" s="84">
        <v>0.05</v>
      </c>
      <c r="Q43" s="84">
        <v>0.05</v>
      </c>
      <c r="R43" s="84">
        <v>0.05</v>
      </c>
      <c r="S43" s="84">
        <v>0.05</v>
      </c>
      <c r="T43" s="84">
        <v>0.05</v>
      </c>
      <c r="U43" s="84">
        <v>0.05</v>
      </c>
      <c r="V43" s="84">
        <v>0.05</v>
      </c>
    </row>
    <row r="44" spans="2:22" x14ac:dyDescent="0.2">
      <c r="B44" t="s">
        <v>31</v>
      </c>
      <c r="C44" s="94">
        <v>0.215</v>
      </c>
      <c r="D44" s="94">
        <v>0.215</v>
      </c>
      <c r="E44" s="94">
        <v>0.215</v>
      </c>
      <c r="F44" s="94">
        <v>0.215</v>
      </c>
      <c r="G44" s="84">
        <f>'Financial Statements &amp; Metrics'!$P$113</f>
        <v>0.20644366131306424</v>
      </c>
      <c r="H44" s="84">
        <f>'Financial Statements &amp; Metrics'!$P$113</f>
        <v>0.20644366131306424</v>
      </c>
      <c r="I44" s="84">
        <f>'Financial Statements &amp; Metrics'!$P$113</f>
        <v>0.20644366131306424</v>
      </c>
      <c r="J44" s="84">
        <f>'Financial Statements &amp; Metrics'!$P$113</f>
        <v>0.20644366131306424</v>
      </c>
      <c r="K44" s="84">
        <f>'Financial Statements &amp; Metrics'!$P$113</f>
        <v>0.20644366131306424</v>
      </c>
      <c r="L44" s="84">
        <f>'Financial Statements &amp; Metrics'!$P$113</f>
        <v>0.20644366131306424</v>
      </c>
      <c r="M44" s="84">
        <f>'Financial Statements &amp; Metrics'!$P$113</f>
        <v>0.20644366131306424</v>
      </c>
      <c r="N44" s="84">
        <f>'Financial Statements &amp; Metrics'!$P$113</f>
        <v>0.20644366131306424</v>
      </c>
      <c r="O44" s="84">
        <f>'Financial Statements &amp; Metrics'!$P$113</f>
        <v>0.20644366131306424</v>
      </c>
      <c r="P44" s="84">
        <f>'Financial Statements &amp; Metrics'!$P$113</f>
        <v>0.20644366131306424</v>
      </c>
      <c r="Q44" s="84">
        <f>'Financial Statements &amp; Metrics'!$P$113</f>
        <v>0.20644366131306424</v>
      </c>
      <c r="R44" s="84">
        <f>'Financial Statements &amp; Metrics'!$P$113</f>
        <v>0.20644366131306424</v>
      </c>
      <c r="S44" s="84">
        <f>'Financial Statements &amp; Metrics'!$P$113</f>
        <v>0.20644366131306424</v>
      </c>
      <c r="T44" s="84">
        <f>'Financial Statements &amp; Metrics'!$P$113</f>
        <v>0.20644366131306424</v>
      </c>
      <c r="U44" s="84">
        <f>'Financial Statements &amp; Metrics'!$P$113</f>
        <v>0.20644366131306424</v>
      </c>
      <c r="V44" s="84">
        <f>'Financial Statements &amp; Metrics'!$P$113</f>
        <v>0.20644366131306424</v>
      </c>
    </row>
    <row r="46" spans="2:22" x14ac:dyDescent="0.2">
      <c r="B46" s="56" t="s">
        <v>32</v>
      </c>
      <c r="C46" s="96">
        <v>1.01</v>
      </c>
      <c r="D46" s="96">
        <v>0.99</v>
      </c>
      <c r="E46" s="96">
        <v>0.98</v>
      </c>
      <c r="F46" s="96">
        <v>1.02</v>
      </c>
      <c r="G46" s="96">
        <v>1.01</v>
      </c>
      <c r="H46" s="96">
        <v>0.99</v>
      </c>
      <c r="I46" s="96">
        <v>0.98</v>
      </c>
      <c r="J46" s="96">
        <v>1.02</v>
      </c>
      <c r="K46" s="96">
        <v>1.01</v>
      </c>
      <c r="L46" s="96">
        <v>0.99</v>
      </c>
      <c r="M46" s="96">
        <v>0.98</v>
      </c>
      <c r="N46" s="96">
        <v>1.02</v>
      </c>
      <c r="O46" s="96">
        <v>1.01</v>
      </c>
      <c r="P46" s="96">
        <v>0.99</v>
      </c>
      <c r="Q46" s="96">
        <v>0.98</v>
      </c>
      <c r="R46" s="96">
        <v>1.02</v>
      </c>
      <c r="S46" s="96">
        <v>1.01</v>
      </c>
      <c r="T46" s="96">
        <v>0.99</v>
      </c>
      <c r="U46" s="96">
        <v>0.98</v>
      </c>
      <c r="V46" s="96">
        <v>1.02</v>
      </c>
    </row>
    <row r="47" spans="2:22" x14ac:dyDescent="0.2">
      <c r="B47" t="s">
        <v>33</v>
      </c>
      <c r="C47" s="104">
        <f>DCF!D14*0.025*C46</f>
        <v>28801.121619999998</v>
      </c>
      <c r="D47" s="104">
        <f>DCF!E14*0.025*D46</f>
        <v>29077.726451400002</v>
      </c>
      <c r="E47" s="104">
        <f>DCF!F14*0.025*E46</f>
        <v>29647.532404084002</v>
      </c>
      <c r="F47" s="104">
        <f>DCF!G14*0.025*F46</f>
        <v>31783.364840541486</v>
      </c>
      <c r="G47" s="104">
        <f>DCF!H14*0.025*G46</f>
        <v>32101.198488946902</v>
      </c>
      <c r="H47" s="104">
        <f>DCF!I14*0.025*H46</f>
        <v>32094.841815978794</v>
      </c>
      <c r="I47" s="104">
        <f>DCF!J14*0.025*I46</f>
        <v>32406.064524497378</v>
      </c>
      <c r="J47" s="104">
        <f>DCF!K14*0.025*J46</f>
        <v>34403.336256415372</v>
      </c>
      <c r="K47" s="104">
        <f>DCF!L14*0.025*K46</f>
        <v>34662.204497364386</v>
      </c>
      <c r="L47" s="104">
        <f>DCF!M14*0.025*L46</f>
        <v>34570.401133967905</v>
      </c>
      <c r="M47" s="104">
        <f>DCF!N14*0.025*M46</f>
        <v>34820.076253268788</v>
      </c>
      <c r="N47" s="104">
        <f>DCF!O14*0.025*N46</f>
        <v>36875.526672913285</v>
      </c>
      <c r="O47" s="104">
        <f>DCF!P14*0.025*O46</f>
        <v>36879.141920626309</v>
      </c>
      <c r="P47" s="104">
        <f>DCF!Q14*0.025*P46</f>
        <v>36510.350501420049</v>
      </c>
      <c r="Q47" s="104">
        <f>DCF!R14*0.025*Q46</f>
        <v>36502.974673035926</v>
      </c>
      <c r="R47" s="104">
        <f>DCF!S14*0.025*R46</f>
        <v>38372.820926695524</v>
      </c>
      <c r="S47" s="104">
        <f>DCF!T14*0.025*S46</f>
        <v>38281.591425962943</v>
      </c>
      <c r="T47" s="104">
        <f>DCF!U14*0.025*T46</f>
        <v>37804.966661426821</v>
      </c>
      <c r="U47" s="104">
        <f>DCF!V14*0.025*U46</f>
        <v>37703.771548646233</v>
      </c>
      <c r="V47" s="104">
        <f>DCF!W14*0.025*V46</f>
        <v>39537.021257108478</v>
      </c>
    </row>
    <row r="48" spans="2:22" x14ac:dyDescent="0.2">
      <c r="B48" t="s">
        <v>34</v>
      </c>
      <c r="C48" s="83">
        <f>C47-'Financial Statements &amp; Metrics'!N$70</f>
        <v>-12090.878380000002</v>
      </c>
      <c r="D48" s="83">
        <f>D47-C47</f>
        <v>276.6048314000036</v>
      </c>
      <c r="E48" s="83">
        <f>E47-D47</f>
        <v>569.80595268400066</v>
      </c>
      <c r="F48" s="83">
        <f>F47-E47</f>
        <v>2135.8324364574837</v>
      </c>
      <c r="G48" s="83">
        <f t="shared" ref="G48" si="39">G47-F47</f>
        <v>317.83364840541617</v>
      </c>
      <c r="H48" s="83">
        <f t="shared" ref="H48" si="40">H47-G47</f>
        <v>-6.3566729681078868</v>
      </c>
      <c r="I48" s="83">
        <f t="shared" ref="I48" si="41">I47-H47</f>
        <v>311.22270851858411</v>
      </c>
      <c r="J48" s="83">
        <f t="shared" ref="J48" si="42">J47-I47</f>
        <v>1997.2717319179937</v>
      </c>
      <c r="K48" s="83">
        <f t="shared" ref="K48" si="43">K47-J47</f>
        <v>258.86824094901385</v>
      </c>
      <c r="L48" s="83">
        <f t="shared" ref="L48" si="44">L47-K47</f>
        <v>-91.803363396480563</v>
      </c>
      <c r="M48" s="83">
        <f t="shared" ref="M48" si="45">M47-L47</f>
        <v>249.67511930088222</v>
      </c>
      <c r="N48" s="83">
        <f t="shared" ref="N48" si="46">N47-M47</f>
        <v>2055.4504196444977</v>
      </c>
      <c r="O48" s="83">
        <f t="shared" ref="O48" si="47">O47-N47</f>
        <v>3.6152477130235638</v>
      </c>
      <c r="P48" s="83">
        <f t="shared" ref="P48" si="48">P47-O47</f>
        <v>-368.79141920625989</v>
      </c>
      <c r="Q48" s="83">
        <f t="shared" ref="Q48" si="49">Q47-P47</f>
        <v>-7.3758283841234515</v>
      </c>
      <c r="R48" s="83">
        <f t="shared" ref="R48" si="50">R47-Q47</f>
        <v>1869.846253659598</v>
      </c>
      <c r="S48" s="83">
        <f t="shared" ref="S48" si="51">S47-R47</f>
        <v>-91.229500732581073</v>
      </c>
      <c r="T48" s="83">
        <f t="shared" ref="T48" si="52">T47-S47</f>
        <v>-476.6247645361218</v>
      </c>
      <c r="U48" s="83">
        <f t="shared" ref="U48" si="53">U47-T47</f>
        <v>-101.19511278058781</v>
      </c>
      <c r="V48" s="83">
        <f t="shared" ref="V48" si="54">V47-U47</f>
        <v>1833.2497084622446</v>
      </c>
    </row>
    <row r="50" spans="2:22" x14ac:dyDescent="0.2">
      <c r="B50" s="177" t="s">
        <v>521</v>
      </c>
      <c r="C50" s="177"/>
      <c r="D50" s="177"/>
      <c r="E50" s="177"/>
      <c r="F50" s="177"/>
      <c r="G50" s="177"/>
      <c r="H50" s="177"/>
      <c r="I50" s="177"/>
      <c r="J50" s="177"/>
      <c r="K50" s="177"/>
      <c r="L50" s="177"/>
      <c r="M50" s="177"/>
      <c r="N50" s="177"/>
      <c r="O50" s="177"/>
      <c r="P50" s="177"/>
      <c r="Q50" s="177"/>
      <c r="R50" s="177"/>
      <c r="S50" s="177"/>
      <c r="T50" s="177"/>
      <c r="U50" s="177"/>
      <c r="V50" s="177"/>
    </row>
    <row r="51" spans="2:22" x14ac:dyDescent="0.2">
      <c r="B51" s="93"/>
      <c r="C51" s="176">
        <v>2025</v>
      </c>
      <c r="D51" s="176"/>
      <c r="E51" s="176"/>
      <c r="F51" s="176"/>
      <c r="G51" s="176">
        <v>2026</v>
      </c>
      <c r="H51" s="176"/>
      <c r="I51" s="176"/>
      <c r="J51" s="176"/>
      <c r="K51" s="176">
        <v>2027</v>
      </c>
      <c r="L51" s="176"/>
      <c r="M51" s="176"/>
      <c r="N51" s="176"/>
      <c r="O51" s="176">
        <v>2028</v>
      </c>
      <c r="P51" s="176"/>
      <c r="Q51" s="176"/>
      <c r="R51" s="176"/>
      <c r="S51" s="176">
        <v>2029</v>
      </c>
      <c r="T51" s="176"/>
      <c r="U51" s="176"/>
      <c r="V51" s="176"/>
    </row>
    <row r="52" spans="2:22" x14ac:dyDescent="0.2">
      <c r="B52" s="97" t="s">
        <v>20</v>
      </c>
      <c r="C52" s="98" t="s">
        <v>21</v>
      </c>
      <c r="D52" s="98" t="s">
        <v>22</v>
      </c>
      <c r="E52" s="98" t="s">
        <v>23</v>
      </c>
      <c r="F52" s="98" t="s">
        <v>24</v>
      </c>
      <c r="G52" s="98" t="s">
        <v>21</v>
      </c>
      <c r="H52" s="98" t="s">
        <v>22</v>
      </c>
      <c r="I52" s="98" t="s">
        <v>23</v>
      </c>
      <c r="J52" s="98" t="s">
        <v>24</v>
      </c>
      <c r="K52" s="98" t="s">
        <v>21</v>
      </c>
      <c r="L52" s="98" t="s">
        <v>22</v>
      </c>
      <c r="M52" s="98" t="s">
        <v>23</v>
      </c>
      <c r="N52" s="98" t="s">
        <v>24</v>
      </c>
      <c r="O52" s="98" t="s">
        <v>21</v>
      </c>
      <c r="P52" s="98" t="s">
        <v>22</v>
      </c>
      <c r="Q52" s="98" t="s">
        <v>23</v>
      </c>
      <c r="R52" s="98" t="s">
        <v>24</v>
      </c>
      <c r="S52" s="98" t="s">
        <v>21</v>
      </c>
      <c r="T52" s="98" t="s">
        <v>22</v>
      </c>
      <c r="U52" s="98" t="s">
        <v>23</v>
      </c>
      <c r="V52" s="98" t="s">
        <v>24</v>
      </c>
    </row>
    <row r="53" spans="2:22" x14ac:dyDescent="0.2">
      <c r="B53" t="s">
        <v>25</v>
      </c>
      <c r="C53" s="84">
        <v>0.02</v>
      </c>
      <c r="D53" s="84">
        <v>0.02</v>
      </c>
      <c r="E53" s="84">
        <v>0.02</v>
      </c>
      <c r="F53" s="84">
        <v>0.02</v>
      </c>
      <c r="G53" s="84">
        <v>0.01</v>
      </c>
      <c r="H53" s="84">
        <v>0.01</v>
      </c>
      <c r="I53" s="84">
        <v>0.01</v>
      </c>
      <c r="J53" s="84">
        <v>0.01</v>
      </c>
      <c r="K53" s="84">
        <v>7.4999999999999997E-3</v>
      </c>
      <c r="L53" s="84">
        <v>7.4999999999999997E-3</v>
      </c>
      <c r="M53" s="84">
        <v>7.4999999999999997E-3</v>
      </c>
      <c r="N53" s="84">
        <v>7.4999999999999997E-3</v>
      </c>
      <c r="O53" s="84">
        <v>7.4999999999999997E-3</v>
      </c>
      <c r="P53" s="84">
        <v>7.4999999999999997E-3</v>
      </c>
      <c r="Q53" s="84">
        <v>7.4999999999999997E-3</v>
      </c>
      <c r="R53" s="84">
        <v>7.4999999999999997E-3</v>
      </c>
      <c r="S53" s="84">
        <v>7.4999999999999997E-3</v>
      </c>
      <c r="T53" s="84">
        <v>7.4999999999999997E-3</v>
      </c>
      <c r="U53" s="84">
        <v>7.4999999999999997E-3</v>
      </c>
      <c r="V53" s="84">
        <v>7.4999999999999997E-3</v>
      </c>
    </row>
    <row r="54" spans="2:22" x14ac:dyDescent="0.2">
      <c r="B54" t="s">
        <v>26</v>
      </c>
      <c r="C54" s="96">
        <v>3</v>
      </c>
      <c r="D54" s="96">
        <v>4</v>
      </c>
      <c r="E54" s="96">
        <v>7</v>
      </c>
      <c r="F54" s="96">
        <v>11</v>
      </c>
      <c r="G54" s="96">
        <v>3</v>
      </c>
      <c r="H54" s="96">
        <v>4</v>
      </c>
      <c r="I54" s="96">
        <v>7</v>
      </c>
      <c r="J54" s="96">
        <v>11</v>
      </c>
      <c r="K54" s="96">
        <v>3</v>
      </c>
      <c r="L54" s="96">
        <v>4</v>
      </c>
      <c r="M54" s="96">
        <v>7</v>
      </c>
      <c r="N54" s="96">
        <v>11</v>
      </c>
      <c r="O54" s="96">
        <v>3</v>
      </c>
      <c r="P54" s="96">
        <v>4</v>
      </c>
      <c r="Q54" s="96">
        <v>7</v>
      </c>
      <c r="R54" s="96">
        <v>11</v>
      </c>
      <c r="S54" s="96">
        <v>3</v>
      </c>
      <c r="T54" s="96">
        <v>4</v>
      </c>
      <c r="U54" s="96">
        <v>7</v>
      </c>
      <c r="V54" s="96">
        <v>11</v>
      </c>
    </row>
    <row r="55" spans="2:22" x14ac:dyDescent="0.2">
      <c r="B55" t="s">
        <v>27</v>
      </c>
      <c r="C55" s="56">
        <f>'Financial Statements &amp; Metrics'!N4+'Assumptions &amp; Drivers'!C54</f>
        <v>254</v>
      </c>
      <c r="D55" s="56">
        <f>C55+D54</f>
        <v>258</v>
      </c>
      <c r="E55" s="56">
        <f t="shared" ref="E55" si="55">D55+E54</f>
        <v>265</v>
      </c>
      <c r="F55" s="56">
        <f t="shared" ref="F55" si="56">E55+F54</f>
        <v>276</v>
      </c>
      <c r="G55" s="56">
        <f t="shared" ref="G55" si="57">F55+G54</f>
        <v>279</v>
      </c>
      <c r="H55" s="56">
        <f t="shared" ref="H55" si="58">G55+H54</f>
        <v>283</v>
      </c>
      <c r="I55" s="56">
        <f t="shared" ref="I55" si="59">H55+I54</f>
        <v>290</v>
      </c>
      <c r="J55" s="56">
        <f t="shared" ref="J55" si="60">I55+J54</f>
        <v>301</v>
      </c>
      <c r="K55" s="56">
        <f t="shared" ref="K55" si="61">J55+K54</f>
        <v>304</v>
      </c>
      <c r="L55" s="56">
        <f t="shared" ref="L55" si="62">K55+L54</f>
        <v>308</v>
      </c>
      <c r="M55" s="56">
        <f t="shared" ref="M55" si="63">L55+M54</f>
        <v>315</v>
      </c>
      <c r="N55" s="56">
        <f t="shared" ref="N55" si="64">M55+N54</f>
        <v>326</v>
      </c>
      <c r="O55" s="56">
        <f t="shared" ref="O55" si="65">N55+O54</f>
        <v>329</v>
      </c>
      <c r="P55" s="56">
        <f t="shared" ref="P55" si="66">O55+P54</f>
        <v>333</v>
      </c>
      <c r="Q55" s="56">
        <f t="shared" ref="Q55" si="67">P55+Q54</f>
        <v>340</v>
      </c>
      <c r="R55" s="56">
        <f t="shared" ref="R55" si="68">Q55+R54</f>
        <v>351</v>
      </c>
      <c r="S55" s="56">
        <f t="shared" ref="S55" si="69">R55+S54</f>
        <v>354</v>
      </c>
      <c r="T55" s="56">
        <f t="shared" ref="T55" si="70">S55+T54</f>
        <v>358</v>
      </c>
      <c r="U55" s="56">
        <f t="shared" ref="U55" si="71">T55+U54</f>
        <v>365</v>
      </c>
      <c r="V55" s="56">
        <f t="shared" ref="V55" si="72">U55+V54</f>
        <v>376</v>
      </c>
    </row>
    <row r="56" spans="2:22" x14ac:dyDescent="0.2">
      <c r="C56" s="96"/>
      <c r="D56" s="96"/>
      <c r="E56" s="96"/>
      <c r="F56" s="96"/>
      <c r="G56" s="96"/>
      <c r="H56" s="96"/>
      <c r="I56" s="96"/>
      <c r="J56" s="96"/>
      <c r="K56" s="96"/>
      <c r="L56" s="96"/>
      <c r="M56" s="96"/>
      <c r="N56" s="96"/>
      <c r="O56" s="96"/>
      <c r="P56" s="96"/>
      <c r="Q56" s="96"/>
      <c r="R56" s="96"/>
      <c r="S56" s="96"/>
      <c r="T56" s="96"/>
      <c r="U56" s="96"/>
      <c r="V56" s="96"/>
    </row>
    <row r="57" spans="2:22" x14ac:dyDescent="0.2">
      <c r="B57" t="s">
        <v>28</v>
      </c>
      <c r="C57" s="84">
        <f>'Financial Statements &amp; Metrics'!$N$104</f>
        <v>0.56536568010575972</v>
      </c>
      <c r="D57" s="84">
        <f>'Financial Statements &amp; Metrics'!$N$104</f>
        <v>0.56536568010575972</v>
      </c>
      <c r="E57" s="84">
        <f>'Financial Statements &amp; Metrics'!$N$104</f>
        <v>0.56536568010575972</v>
      </c>
      <c r="F57" s="84">
        <f>'Financial Statements &amp; Metrics'!$N$104</f>
        <v>0.56536568010575972</v>
      </c>
      <c r="G57" s="84">
        <f>'Financial Statements &amp; Metrics'!$N$104</f>
        <v>0.56536568010575972</v>
      </c>
      <c r="H57" s="84">
        <f>'Financial Statements &amp; Metrics'!$N$104</f>
        <v>0.56536568010575972</v>
      </c>
      <c r="I57" s="84">
        <f>'Financial Statements &amp; Metrics'!$N$104</f>
        <v>0.56536568010575972</v>
      </c>
      <c r="J57" s="84">
        <f>'Financial Statements &amp; Metrics'!$N$104</f>
        <v>0.56536568010575972</v>
      </c>
      <c r="K57" s="84">
        <f>'Financial Statements &amp; Metrics'!$N$104</f>
        <v>0.56536568010575972</v>
      </c>
      <c r="L57" s="84">
        <f>'Financial Statements &amp; Metrics'!$N$104</f>
        <v>0.56536568010575972</v>
      </c>
      <c r="M57" s="84">
        <f>'Financial Statements &amp; Metrics'!$N$104</f>
        <v>0.56536568010575972</v>
      </c>
      <c r="N57" s="84">
        <f>'Financial Statements &amp; Metrics'!$N$104</f>
        <v>0.56536568010575972</v>
      </c>
      <c r="O57" s="84">
        <f>'Financial Statements &amp; Metrics'!$N$104</f>
        <v>0.56536568010575972</v>
      </c>
      <c r="P57" s="84">
        <f>'Financial Statements &amp; Metrics'!$N$104</f>
        <v>0.56536568010575972</v>
      </c>
      <c r="Q57" s="84">
        <f>'Financial Statements &amp; Metrics'!$N$104</f>
        <v>0.56536568010575972</v>
      </c>
      <c r="R57" s="84">
        <f>'Financial Statements &amp; Metrics'!$N$104</f>
        <v>0.56536568010575972</v>
      </c>
      <c r="S57" s="84">
        <f>'Financial Statements &amp; Metrics'!$N$104</f>
        <v>0.56536568010575972</v>
      </c>
      <c r="T57" s="84">
        <f>'Financial Statements &amp; Metrics'!$N$104</f>
        <v>0.56536568010575972</v>
      </c>
      <c r="U57" s="84">
        <f>'Financial Statements &amp; Metrics'!$N$104</f>
        <v>0.56536568010575972</v>
      </c>
      <c r="V57" s="84">
        <f>'Financial Statements &amp; Metrics'!$N$104</f>
        <v>0.56536568010575972</v>
      </c>
    </row>
    <row r="58" spans="2:22" x14ac:dyDescent="0.2">
      <c r="B58" t="s">
        <v>29</v>
      </c>
      <c r="C58" s="84">
        <f>'Financial Statements &amp; Metrics'!N$106</f>
        <v>0.3811584806432271</v>
      </c>
      <c r="D58" s="84">
        <f>C58</f>
        <v>0.3811584806432271</v>
      </c>
      <c r="E58" s="84">
        <f t="shared" ref="E58:V58" si="73">D58</f>
        <v>0.3811584806432271</v>
      </c>
      <c r="F58" s="84">
        <f t="shared" si="73"/>
        <v>0.3811584806432271</v>
      </c>
      <c r="G58" s="84">
        <f t="shared" si="73"/>
        <v>0.3811584806432271</v>
      </c>
      <c r="H58" s="84">
        <f t="shared" si="73"/>
        <v>0.3811584806432271</v>
      </c>
      <c r="I58" s="84">
        <f t="shared" si="73"/>
        <v>0.3811584806432271</v>
      </c>
      <c r="J58" s="84">
        <f t="shared" si="73"/>
        <v>0.3811584806432271</v>
      </c>
      <c r="K58" s="84">
        <f t="shared" si="73"/>
        <v>0.3811584806432271</v>
      </c>
      <c r="L58" s="84">
        <f t="shared" si="73"/>
        <v>0.3811584806432271</v>
      </c>
      <c r="M58" s="84">
        <f t="shared" si="73"/>
        <v>0.3811584806432271</v>
      </c>
      <c r="N58" s="84">
        <f t="shared" si="73"/>
        <v>0.3811584806432271</v>
      </c>
      <c r="O58" s="84">
        <f t="shared" si="73"/>
        <v>0.3811584806432271</v>
      </c>
      <c r="P58" s="84">
        <f t="shared" si="73"/>
        <v>0.3811584806432271</v>
      </c>
      <c r="Q58" s="84">
        <f t="shared" si="73"/>
        <v>0.3811584806432271</v>
      </c>
      <c r="R58" s="84">
        <f t="shared" si="73"/>
        <v>0.3811584806432271</v>
      </c>
      <c r="S58" s="84">
        <f t="shared" si="73"/>
        <v>0.3811584806432271</v>
      </c>
      <c r="T58" s="84">
        <f t="shared" si="73"/>
        <v>0.3811584806432271</v>
      </c>
      <c r="U58" s="84">
        <f t="shared" si="73"/>
        <v>0.3811584806432271</v>
      </c>
      <c r="V58" s="84">
        <f t="shared" si="73"/>
        <v>0.3811584806432271</v>
      </c>
    </row>
    <row r="59" spans="2:22" x14ac:dyDescent="0.2">
      <c r="B59" t="s">
        <v>30</v>
      </c>
      <c r="C59" s="84">
        <v>0.05</v>
      </c>
      <c r="D59" s="84">
        <v>0.05</v>
      </c>
      <c r="E59" s="84">
        <v>0.05</v>
      </c>
      <c r="F59" s="84">
        <v>0.05</v>
      </c>
      <c r="G59" s="84">
        <v>0.05</v>
      </c>
      <c r="H59" s="84">
        <v>0.05</v>
      </c>
      <c r="I59" s="84">
        <v>0.05</v>
      </c>
      <c r="J59" s="84">
        <v>0.05</v>
      </c>
      <c r="K59" s="84">
        <v>0.05</v>
      </c>
      <c r="L59" s="84">
        <v>0.05</v>
      </c>
      <c r="M59" s="84">
        <v>0.05</v>
      </c>
      <c r="N59" s="84">
        <v>0.05</v>
      </c>
      <c r="O59" s="84">
        <v>0.05</v>
      </c>
      <c r="P59" s="84">
        <v>0.05</v>
      </c>
      <c r="Q59" s="84">
        <v>0.05</v>
      </c>
      <c r="R59" s="84">
        <v>0.05</v>
      </c>
      <c r="S59" s="84">
        <v>0.05</v>
      </c>
      <c r="T59" s="84">
        <v>0.05</v>
      </c>
      <c r="U59" s="84">
        <v>0.05</v>
      </c>
      <c r="V59" s="84">
        <v>0.05</v>
      </c>
    </row>
    <row r="60" spans="2:22" x14ac:dyDescent="0.2">
      <c r="B60" t="s">
        <v>31</v>
      </c>
      <c r="C60" s="94">
        <v>0.22</v>
      </c>
      <c r="D60" s="94">
        <v>0.22</v>
      </c>
      <c r="E60" s="94">
        <v>0.22</v>
      </c>
      <c r="F60" s="94">
        <v>0.22</v>
      </c>
      <c r="G60" s="84">
        <f>'Financial Statements &amp; Metrics'!$P$113</f>
        <v>0.20644366131306424</v>
      </c>
      <c r="H60" s="84">
        <f>'Financial Statements &amp; Metrics'!$P$113</f>
        <v>0.20644366131306424</v>
      </c>
      <c r="I60" s="84">
        <f>'Financial Statements &amp; Metrics'!$P$113</f>
        <v>0.20644366131306424</v>
      </c>
      <c r="J60" s="84">
        <f>'Financial Statements &amp; Metrics'!$P$113</f>
        <v>0.20644366131306424</v>
      </c>
      <c r="K60" s="84">
        <f>'Financial Statements &amp; Metrics'!$P$113</f>
        <v>0.20644366131306424</v>
      </c>
      <c r="L60" s="84">
        <f>'Financial Statements &amp; Metrics'!$P$113</f>
        <v>0.20644366131306424</v>
      </c>
      <c r="M60" s="84">
        <f>'Financial Statements &amp; Metrics'!$P$113</f>
        <v>0.20644366131306424</v>
      </c>
      <c r="N60" s="84">
        <f>'Financial Statements &amp; Metrics'!$P$113</f>
        <v>0.20644366131306424</v>
      </c>
      <c r="O60" s="84">
        <f>'Financial Statements &amp; Metrics'!$P$113</f>
        <v>0.20644366131306424</v>
      </c>
      <c r="P60" s="84">
        <f>'Financial Statements &amp; Metrics'!$P$113</f>
        <v>0.20644366131306424</v>
      </c>
      <c r="Q60" s="84">
        <f>'Financial Statements &amp; Metrics'!$P$113</f>
        <v>0.20644366131306424</v>
      </c>
      <c r="R60" s="84">
        <f>'Financial Statements &amp; Metrics'!$P$113</f>
        <v>0.20644366131306424</v>
      </c>
      <c r="S60" s="84">
        <f>'Financial Statements &amp; Metrics'!$P$113</f>
        <v>0.20644366131306424</v>
      </c>
      <c r="T60" s="84">
        <f>'Financial Statements &amp; Metrics'!$P$113</f>
        <v>0.20644366131306424</v>
      </c>
      <c r="U60" s="84">
        <f>'Financial Statements &amp; Metrics'!$P$113</f>
        <v>0.20644366131306424</v>
      </c>
      <c r="V60" s="84">
        <f>'Financial Statements &amp; Metrics'!$P$113</f>
        <v>0.20644366131306424</v>
      </c>
    </row>
    <row r="62" spans="2:22" x14ac:dyDescent="0.2">
      <c r="B62" t="s">
        <v>32</v>
      </c>
      <c r="C62" s="96">
        <v>1.01</v>
      </c>
      <c r="D62" s="96">
        <v>0.99</v>
      </c>
      <c r="E62" s="96">
        <v>0.98</v>
      </c>
      <c r="F62" s="96">
        <v>1.02</v>
      </c>
      <c r="G62" s="96">
        <v>1.01</v>
      </c>
      <c r="H62" s="96">
        <v>0.99</v>
      </c>
      <c r="I62" s="96">
        <v>0.98</v>
      </c>
      <c r="J62" s="96">
        <v>1.02</v>
      </c>
      <c r="K62" s="96">
        <v>1.01</v>
      </c>
      <c r="L62" s="96">
        <v>0.99</v>
      </c>
      <c r="M62" s="96">
        <v>0.98</v>
      </c>
      <c r="N62" s="96">
        <v>1.02</v>
      </c>
      <c r="O62" s="96">
        <v>1.01</v>
      </c>
      <c r="P62" s="96">
        <v>0.99</v>
      </c>
      <c r="Q62" s="96">
        <v>0.98</v>
      </c>
      <c r="R62" s="96">
        <v>1.02</v>
      </c>
      <c r="S62" s="96">
        <v>1.01</v>
      </c>
      <c r="T62" s="96">
        <v>0.99</v>
      </c>
      <c r="U62" s="96">
        <v>0.98</v>
      </c>
      <c r="V62" s="96">
        <v>1.02</v>
      </c>
    </row>
    <row r="63" spans="2:22" x14ac:dyDescent="0.2">
      <c r="B63" t="s">
        <v>33</v>
      </c>
      <c r="C63" s="104">
        <f>DCF!D14*0.025*C62</f>
        <v>28801.121619999998</v>
      </c>
      <c r="D63" s="104">
        <f>DCF!E14*0.025*D62</f>
        <v>29077.726451400002</v>
      </c>
      <c r="E63" s="104">
        <f>DCF!F14*0.025*E62</f>
        <v>29647.532404084002</v>
      </c>
      <c r="F63" s="104">
        <f>DCF!G14*0.025*F62</f>
        <v>31783.364840541486</v>
      </c>
      <c r="G63" s="104">
        <f>DCF!H14*0.025*G62</f>
        <v>32101.198488946902</v>
      </c>
      <c r="H63" s="104">
        <f>DCF!I14*0.025*H62</f>
        <v>32094.841815978794</v>
      </c>
      <c r="I63" s="104">
        <f>DCF!J14*0.025*I62</f>
        <v>32406.064524497378</v>
      </c>
      <c r="J63" s="104">
        <f>DCF!K14*0.025*J62</f>
        <v>34403.336256415372</v>
      </c>
      <c r="K63" s="104">
        <f>DCF!L14*0.025*K62</f>
        <v>34662.204497364386</v>
      </c>
      <c r="L63" s="104">
        <f>DCF!M14*0.025*L62</f>
        <v>34570.401133967905</v>
      </c>
      <c r="M63" s="104">
        <f>DCF!N14*0.025*M62</f>
        <v>34820.076253268788</v>
      </c>
      <c r="N63" s="104">
        <f>DCF!O14*0.025*N62</f>
        <v>36875.526672913285</v>
      </c>
      <c r="O63" s="104">
        <f>DCF!P14*0.025*O62</f>
        <v>36879.141920626309</v>
      </c>
      <c r="P63" s="104">
        <f>DCF!Q14*0.025*P62</f>
        <v>36510.350501420049</v>
      </c>
      <c r="Q63" s="104">
        <f>DCF!R14*0.025*Q62</f>
        <v>36502.974673035926</v>
      </c>
      <c r="R63" s="104">
        <f>DCF!S14*0.025*R62</f>
        <v>38372.820926695524</v>
      </c>
      <c r="S63" s="104">
        <f>DCF!T14*0.025*S62</f>
        <v>38281.591425962943</v>
      </c>
      <c r="T63" s="104">
        <f>DCF!U14*0.025*T62</f>
        <v>37804.966661426821</v>
      </c>
      <c r="U63" s="104">
        <f>DCF!V14*0.025*U62</f>
        <v>37703.771548646233</v>
      </c>
      <c r="V63" s="104">
        <f>DCF!W14*0.025*V62</f>
        <v>39537.021257108478</v>
      </c>
    </row>
    <row r="64" spans="2:22" x14ac:dyDescent="0.2">
      <c r="B64" t="s">
        <v>34</v>
      </c>
      <c r="C64" s="83">
        <f>C63-'Financial Statements &amp; Metrics'!N$70</f>
        <v>-12090.878380000002</v>
      </c>
      <c r="D64" s="83">
        <f>D63-C63</f>
        <v>276.6048314000036</v>
      </c>
      <c r="E64" s="83">
        <f t="shared" ref="E64" si="74">E63-D63</f>
        <v>569.80595268400066</v>
      </c>
      <c r="F64" s="83">
        <f t="shared" ref="F64" si="75">F63-E63</f>
        <v>2135.8324364574837</v>
      </c>
      <c r="G64" s="83">
        <f t="shared" ref="G64" si="76">G63-F63</f>
        <v>317.83364840541617</v>
      </c>
      <c r="H64" s="83">
        <f t="shared" ref="H64" si="77">H63-G63</f>
        <v>-6.3566729681078868</v>
      </c>
      <c r="I64" s="83">
        <f t="shared" ref="I64" si="78">I63-H63</f>
        <v>311.22270851858411</v>
      </c>
      <c r="J64" s="83">
        <f t="shared" ref="J64" si="79">J63-I63</f>
        <v>1997.2717319179937</v>
      </c>
      <c r="K64" s="83">
        <f t="shared" ref="K64" si="80">K63-J63</f>
        <v>258.86824094901385</v>
      </c>
      <c r="L64" s="83">
        <f t="shared" ref="L64" si="81">L63-K63</f>
        <v>-91.803363396480563</v>
      </c>
      <c r="M64" s="83">
        <f t="shared" ref="M64" si="82">M63-L63</f>
        <v>249.67511930088222</v>
      </c>
      <c r="N64" s="83">
        <f t="shared" ref="N64" si="83">N63-M63</f>
        <v>2055.4504196444977</v>
      </c>
      <c r="O64" s="83">
        <f t="shared" ref="O64" si="84">O63-N63</f>
        <v>3.6152477130235638</v>
      </c>
      <c r="P64" s="83">
        <f t="shared" ref="P64" si="85">P63-O63</f>
        <v>-368.79141920625989</v>
      </c>
      <c r="Q64" s="83">
        <f t="shared" ref="Q64" si="86">Q63-P63</f>
        <v>-7.3758283841234515</v>
      </c>
      <c r="R64" s="83">
        <f t="shared" ref="R64" si="87">R63-Q63</f>
        <v>1869.846253659598</v>
      </c>
      <c r="S64" s="83">
        <f t="shared" ref="S64" si="88">S63-R63</f>
        <v>-91.229500732581073</v>
      </c>
      <c r="T64" s="83">
        <f t="shared" ref="T64" si="89">T63-S63</f>
        <v>-476.6247645361218</v>
      </c>
      <c r="U64" s="83">
        <f t="shared" ref="U64" si="90">U63-T63</f>
        <v>-101.19511278058781</v>
      </c>
      <c r="V64" s="83">
        <f t="shared" ref="V64" si="91">V63-U63</f>
        <v>1833.2497084622446</v>
      </c>
    </row>
  </sheetData>
  <mergeCells count="29">
    <mergeCell ref="B50:V50"/>
    <mergeCell ref="B16:V16"/>
    <mergeCell ref="C7:D7"/>
    <mergeCell ref="C14:D14"/>
    <mergeCell ref="C13:D13"/>
    <mergeCell ref="C12:D12"/>
    <mergeCell ref="C11:D11"/>
    <mergeCell ref="C10:D10"/>
    <mergeCell ref="C9:D9"/>
    <mergeCell ref="C8:D8"/>
    <mergeCell ref="F7:G7"/>
    <mergeCell ref="C35:F35"/>
    <mergeCell ref="G35:J35"/>
    <mergeCell ref="K35:N35"/>
    <mergeCell ref="B18:V18"/>
    <mergeCell ref="B34:V34"/>
    <mergeCell ref="C51:F51"/>
    <mergeCell ref="G51:J51"/>
    <mergeCell ref="K51:N51"/>
    <mergeCell ref="O51:R51"/>
    <mergeCell ref="S51:V51"/>
    <mergeCell ref="O35:R35"/>
    <mergeCell ref="S35:V35"/>
    <mergeCell ref="F6:G6"/>
    <mergeCell ref="C19:F19"/>
    <mergeCell ref="G19:J19"/>
    <mergeCell ref="K19:N19"/>
    <mergeCell ref="O19:R19"/>
    <mergeCell ref="S19:V19"/>
  </mergeCells>
  <conditionalFormatting sqref="B34">
    <cfRule type="containsText" dxfId="29" priority="4" operator="containsText" text="Upside">
      <formula>NOT(ISERROR(SEARCH("Upside",B34)))</formula>
    </cfRule>
    <cfRule type="containsText" dxfId="28" priority="5" operator="containsText" text="Downside">
      <formula>NOT(ISERROR(SEARCH("Downside",B34)))</formula>
    </cfRule>
    <cfRule type="containsText" dxfId="27" priority="6" operator="containsText" text="Base">
      <formula>NOT(ISERROR(SEARCH("Base",B34)))</formula>
    </cfRule>
  </conditionalFormatting>
  <conditionalFormatting sqref="B50">
    <cfRule type="containsText" dxfId="26" priority="1" operator="containsText" text="Upside">
      <formula>NOT(ISERROR(SEARCH("Upside",B50)))</formula>
    </cfRule>
    <cfRule type="containsText" dxfId="25" priority="2" operator="containsText" text="Downside">
      <formula>NOT(ISERROR(SEARCH("Downside",B50)))</formula>
    </cfRule>
    <cfRule type="containsText" dxfId="24" priority="3" operator="containsText" text="Base">
      <formula>NOT(ISERROR(SEARCH("Base",B50)))</formula>
    </cfRule>
  </conditionalFormatting>
  <conditionalFormatting sqref="C17 B18 B16">
    <cfRule type="containsText" dxfId="23" priority="9" operator="containsText" text="Base">
      <formula>NOT(ISERROR(SEARCH("Base",B16)))</formula>
    </cfRule>
  </conditionalFormatting>
  <conditionalFormatting sqref="C17 B18">
    <cfRule type="containsText" dxfId="22" priority="7" operator="containsText" text="Upside">
      <formula>NOT(ISERROR(SEARCH("Upside",B17)))</formula>
    </cfRule>
    <cfRule type="containsText" dxfId="21" priority="8" operator="containsText" text="Downside">
      <formula>NOT(ISERROR(SEARCH("Downside",B17)))</formula>
    </cfRule>
  </conditionalFormatting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1A915B-6B6B-4C44-95FC-FBBC94D60CDA}">
  <dimension ref="B1:L1048576"/>
  <sheetViews>
    <sheetView showGridLines="0" zoomScale="150" zoomScaleNormal="150" workbookViewId="0"/>
  </sheetViews>
  <sheetFormatPr baseColWidth="10" defaultRowHeight="15" x14ac:dyDescent="0.2"/>
  <cols>
    <col min="1" max="1" width="1.83203125" customWidth="1"/>
    <col min="2" max="2" width="19.33203125" bestFit="1" customWidth="1"/>
    <col min="3" max="3" width="12.1640625" bestFit="1" customWidth="1"/>
    <col min="4" max="4" width="12.5" bestFit="1" customWidth="1"/>
    <col min="5" max="5" width="2.83203125" customWidth="1"/>
    <col min="6" max="6" width="19.33203125" bestFit="1" customWidth="1"/>
    <col min="7" max="7" width="11.1640625" bestFit="1" customWidth="1"/>
    <col min="8" max="8" width="12.5" bestFit="1" customWidth="1"/>
    <col min="9" max="9" width="2.83203125" customWidth="1"/>
    <col min="10" max="10" width="19.33203125" bestFit="1" customWidth="1"/>
    <col min="11" max="11" width="11.1640625" bestFit="1" customWidth="1"/>
    <col min="12" max="12" width="12.5" bestFit="1" customWidth="1"/>
  </cols>
  <sheetData>
    <row r="1" spans="2:12" x14ac:dyDescent="0.2">
      <c r="B1" t="s">
        <v>536</v>
      </c>
      <c r="C1" s="71">
        <v>68.3</v>
      </c>
    </row>
    <row r="3" spans="2:12" x14ac:dyDescent="0.2">
      <c r="B3" s="153" t="s">
        <v>453</v>
      </c>
      <c r="C3" s="181" t="s">
        <v>520</v>
      </c>
      <c r="D3" s="182"/>
      <c r="F3" s="108" t="s">
        <v>453</v>
      </c>
      <c r="G3" s="181" t="s">
        <v>455</v>
      </c>
      <c r="H3" s="182"/>
      <c r="J3" s="153" t="s">
        <v>453</v>
      </c>
      <c r="K3" s="181" t="s">
        <v>521</v>
      </c>
      <c r="L3" s="182"/>
    </row>
    <row r="4" spans="2:12" x14ac:dyDescent="0.2">
      <c r="B4" s="162"/>
      <c r="C4" s="160" t="s">
        <v>523</v>
      </c>
      <c r="D4" s="161">
        <v>0.2</v>
      </c>
      <c r="F4" s="159"/>
      <c r="G4" s="160" t="s">
        <v>523</v>
      </c>
      <c r="H4" s="161">
        <v>0.6</v>
      </c>
      <c r="J4" s="162"/>
      <c r="K4" s="160" t="s">
        <v>523</v>
      </c>
      <c r="L4" s="161">
        <v>0.2</v>
      </c>
    </row>
    <row r="5" spans="2:12" x14ac:dyDescent="0.2">
      <c r="B5" s="154"/>
      <c r="C5" s="52"/>
      <c r="D5" s="155"/>
      <c r="F5" s="106"/>
      <c r="H5" s="107"/>
      <c r="J5" s="154"/>
      <c r="K5" s="52"/>
      <c r="L5" s="155"/>
    </row>
    <row r="6" spans="2:12" x14ac:dyDescent="0.2">
      <c r="B6" s="154" t="s">
        <v>37</v>
      </c>
      <c r="C6" s="147">
        <f>DCF!C70</f>
        <v>13486259.698469218</v>
      </c>
      <c r="D6" s="155"/>
      <c r="F6" s="106" t="s">
        <v>37</v>
      </c>
      <c r="G6" s="147">
        <f>DCF!C36</f>
        <v>5698842.87019148</v>
      </c>
      <c r="H6" s="107"/>
      <c r="J6" s="154" t="s">
        <v>37</v>
      </c>
      <c r="K6" s="147">
        <f>DCF!C104</f>
        <v>1657022.4339668206</v>
      </c>
      <c r="L6" s="155"/>
    </row>
    <row r="7" spans="2:12" x14ac:dyDescent="0.2">
      <c r="B7" s="154" t="s">
        <v>38</v>
      </c>
      <c r="C7" s="147">
        <f>'Financial Statements &amp; Metrics'!$N$50</f>
        <v>194527</v>
      </c>
      <c r="D7" s="155"/>
      <c r="F7" s="111" t="s">
        <v>38</v>
      </c>
      <c r="G7" s="147">
        <f>'Financial Statements &amp; Metrics'!$N$50</f>
        <v>194527</v>
      </c>
      <c r="H7" s="107"/>
      <c r="J7" s="154" t="s">
        <v>38</v>
      </c>
      <c r="K7" s="147">
        <f>'Financial Statements &amp; Metrics'!$N$50</f>
        <v>194527</v>
      </c>
      <c r="L7" s="155"/>
    </row>
    <row r="8" spans="2:12" x14ac:dyDescent="0.2">
      <c r="B8" s="154" t="s">
        <v>39</v>
      </c>
      <c r="C8" s="147">
        <f>'Financial Statements &amp; Metrics'!$N$52</f>
        <v>1351282</v>
      </c>
      <c r="D8" s="155"/>
      <c r="F8" s="111" t="s">
        <v>39</v>
      </c>
      <c r="G8" s="147">
        <f>'Financial Statements &amp; Metrics'!$N$52</f>
        <v>1351282</v>
      </c>
      <c r="H8" s="107"/>
      <c r="J8" s="154" t="s">
        <v>39</v>
      </c>
      <c r="K8" s="147">
        <f>'Financial Statements &amp; Metrics'!$N$52</f>
        <v>1351282</v>
      </c>
      <c r="L8" s="155"/>
    </row>
    <row r="9" spans="2:12" x14ac:dyDescent="0.2">
      <c r="B9" s="154" t="s">
        <v>40</v>
      </c>
      <c r="C9" s="147">
        <f>'Financial Statements &amp; Metrics'!$N$28+'Financial Statements &amp; Metrics'!$N$29</f>
        <v>209404</v>
      </c>
      <c r="D9" s="155"/>
      <c r="F9" s="106" t="s">
        <v>40</v>
      </c>
      <c r="G9" s="147">
        <f>'Financial Statements &amp; Metrics'!$N$28+'Financial Statements &amp; Metrics'!$N$29</f>
        <v>209404</v>
      </c>
      <c r="H9" s="107"/>
      <c r="J9" s="154" t="s">
        <v>40</v>
      </c>
      <c r="K9" s="147">
        <f>'Financial Statements &amp; Metrics'!$N$28+'Financial Statements &amp; Metrics'!$N$29</f>
        <v>209404</v>
      </c>
      <c r="L9" s="155"/>
    </row>
    <row r="10" spans="2:12" x14ac:dyDescent="0.2">
      <c r="B10" s="154" t="s">
        <v>41</v>
      </c>
      <c r="C10" s="147">
        <f>C6-C7-C8+C9</f>
        <v>12149854.698469218</v>
      </c>
      <c r="D10" s="155"/>
      <c r="F10" s="106" t="s">
        <v>41</v>
      </c>
      <c r="G10" s="147">
        <f>G6-G7-G8+G9</f>
        <v>4362437.87019148</v>
      </c>
      <c r="H10" s="107"/>
      <c r="J10" s="154" t="s">
        <v>41</v>
      </c>
      <c r="K10" s="147">
        <f>K6-K7-K8+K9</f>
        <v>320617.43396682059</v>
      </c>
      <c r="L10" s="155"/>
    </row>
    <row r="11" spans="2:12" x14ac:dyDescent="0.2">
      <c r="B11" s="154" t="s">
        <v>42</v>
      </c>
      <c r="C11" s="148">
        <f>'Financial Statements &amp; Metrics'!$N$23</f>
        <v>108431</v>
      </c>
      <c r="D11" s="156" t="s">
        <v>43</v>
      </c>
      <c r="F11" s="106" t="s">
        <v>42</v>
      </c>
      <c r="G11" s="148">
        <f>'Financial Statements &amp; Metrics'!$N$23</f>
        <v>108431</v>
      </c>
      <c r="H11" s="152" t="s">
        <v>43</v>
      </c>
      <c r="J11" s="154" t="s">
        <v>42</v>
      </c>
      <c r="K11" s="148">
        <f>'Financial Statements &amp; Metrics'!$N$23</f>
        <v>108431</v>
      </c>
      <c r="L11" s="156" t="s">
        <v>43</v>
      </c>
    </row>
    <row r="12" spans="2:12" x14ac:dyDescent="0.2">
      <c r="B12" s="157" t="s">
        <v>44</v>
      </c>
      <c r="C12" s="150">
        <f>C10/C11</f>
        <v>112.05148618447878</v>
      </c>
      <c r="D12" s="151">
        <f>(C12/$C$1)-1</f>
        <v>0.64057812861608765</v>
      </c>
      <c r="F12" s="149" t="s">
        <v>44</v>
      </c>
      <c r="G12" s="150">
        <f>G10/G11</f>
        <v>40.232386219729413</v>
      </c>
      <c r="H12" s="151">
        <f>(G12/$C$1)-1</f>
        <v>-0.4109460289937128</v>
      </c>
      <c r="J12" s="157" t="s">
        <v>44</v>
      </c>
      <c r="K12" s="150">
        <f>K10/K11</f>
        <v>2.9568798034401658</v>
      </c>
      <c r="L12" s="151">
        <f>(K12/$C$1)-1</f>
        <v>-0.95670746993499023</v>
      </c>
    </row>
    <row r="14" spans="2:12" x14ac:dyDescent="0.2">
      <c r="B14" s="5" t="s">
        <v>454</v>
      </c>
      <c r="C14" t="s">
        <v>523</v>
      </c>
      <c r="D14" t="s">
        <v>524</v>
      </c>
    </row>
    <row r="15" spans="2:12" x14ac:dyDescent="0.2">
      <c r="B15" s="146" t="s">
        <v>520</v>
      </c>
      <c r="C15" s="164">
        <f>D4</f>
        <v>0.2</v>
      </c>
      <c r="D15" s="68">
        <f>C12</f>
        <v>112.05148618447878</v>
      </c>
      <c r="E15" s="68"/>
    </row>
    <row r="16" spans="2:12" x14ac:dyDescent="0.2">
      <c r="B16" s="146" t="s">
        <v>455</v>
      </c>
      <c r="C16" s="163">
        <f>H4</f>
        <v>0.6</v>
      </c>
      <c r="D16" s="68">
        <f>G12</f>
        <v>40.232386219729413</v>
      </c>
      <c r="E16" s="68"/>
    </row>
    <row r="17" spans="2:9" x14ac:dyDescent="0.2">
      <c r="B17" s="146" t="s">
        <v>521</v>
      </c>
      <c r="C17" s="163">
        <f>L4</f>
        <v>0.2</v>
      </c>
      <c r="D17" s="68">
        <f>K12</f>
        <v>2.9568798034401658</v>
      </c>
      <c r="E17" s="68"/>
    </row>
    <row r="19" spans="2:9" x14ac:dyDescent="0.2">
      <c r="B19" s="170" t="s">
        <v>525</v>
      </c>
      <c r="C19" s="168"/>
      <c r="D19" s="172">
        <f>SUMPRODUCT(C15:C17,D15:D17)</f>
        <v>47.141104929421438</v>
      </c>
    </row>
    <row r="20" spans="2:9" x14ac:dyDescent="0.2">
      <c r="B20" s="171" t="s">
        <v>43</v>
      </c>
      <c r="C20" s="85"/>
      <c r="D20" s="169">
        <f>D19/C1-1</f>
        <v>-0.30979348566000819</v>
      </c>
    </row>
    <row r="23" spans="2:9" x14ac:dyDescent="0.2">
      <c r="B23" s="68"/>
      <c r="C23" s="17"/>
      <c r="D23" s="17"/>
      <c r="E23" s="17"/>
      <c r="F23" s="17"/>
      <c r="G23" s="17"/>
      <c r="H23" s="17"/>
      <c r="I23" s="17"/>
    </row>
    <row r="1048576" spans="2:2" x14ac:dyDescent="0.2">
      <c r="B1048576" s="17"/>
    </row>
  </sheetData>
  <mergeCells count="3">
    <mergeCell ref="G3:H3"/>
    <mergeCell ref="C3:D3"/>
    <mergeCell ref="K3:L3"/>
  </mergeCells>
  <conditionalFormatting sqref="B15:B17 B19:B20">
    <cfRule type="containsText" dxfId="20" priority="1" operator="containsText" text="Upside">
      <formula>NOT(ISERROR(SEARCH("Upside",B15)))</formula>
    </cfRule>
    <cfRule type="containsText" dxfId="19" priority="2" operator="containsText" text="Downside">
      <formula>NOT(ISERROR(SEARCH("Downside",B15)))</formula>
    </cfRule>
    <cfRule type="containsText" dxfId="18" priority="3" operator="containsText" text="Base">
      <formula>NOT(ISERROR(SEARCH("Base",B15)))</formula>
    </cfRule>
  </conditionalFormatting>
  <conditionalFormatting sqref="C3:C4">
    <cfRule type="containsText" dxfId="17" priority="7" operator="containsText" text="Upside">
      <formula>NOT(ISERROR(SEARCH("Upside",C3)))</formula>
    </cfRule>
    <cfRule type="containsText" dxfId="16" priority="8" operator="containsText" text="Downside">
      <formula>NOT(ISERROR(SEARCH("Downside",C3)))</formula>
    </cfRule>
    <cfRule type="containsText" dxfId="15" priority="9" operator="containsText" text="Base">
      <formula>NOT(ISERROR(SEARCH("Base",C3)))</formula>
    </cfRule>
  </conditionalFormatting>
  <conditionalFormatting sqref="G3:G4">
    <cfRule type="containsText" dxfId="14" priority="10" operator="containsText" text="Upside">
      <formula>NOT(ISERROR(SEARCH("Upside",G3)))</formula>
    </cfRule>
    <cfRule type="containsText" dxfId="13" priority="11" operator="containsText" text="Downside">
      <formula>NOT(ISERROR(SEARCH("Downside",G3)))</formula>
    </cfRule>
    <cfRule type="containsText" dxfId="12" priority="12" operator="containsText" text="Base">
      <formula>NOT(ISERROR(SEARCH("Base",G3)))</formula>
    </cfRule>
  </conditionalFormatting>
  <conditionalFormatting sqref="K3:K4">
    <cfRule type="containsText" dxfId="11" priority="4" operator="containsText" text="Upside">
      <formula>NOT(ISERROR(SEARCH("Upside",K3)))</formula>
    </cfRule>
    <cfRule type="containsText" dxfId="10" priority="5" operator="containsText" text="Downside">
      <formula>NOT(ISERROR(SEARCH("Downside",K3)))</formula>
    </cfRule>
    <cfRule type="containsText" dxfId="9" priority="6" operator="containsText" text="Base">
      <formula>NOT(ISERROR(SEARCH("Base",K3)))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Y104"/>
  <sheetViews>
    <sheetView showGridLines="0" zoomScale="120" zoomScaleNormal="120" workbookViewId="0"/>
  </sheetViews>
  <sheetFormatPr baseColWidth="10" defaultColWidth="8.83203125" defaultRowHeight="15" x14ac:dyDescent="0.2"/>
  <cols>
    <col min="1" max="1" width="1.83203125" customWidth="1"/>
    <col min="2" max="2" width="22.83203125" bestFit="1" customWidth="1"/>
    <col min="3" max="23" width="13.6640625" bestFit="1" customWidth="1"/>
    <col min="25" max="25" width="11.83203125" bestFit="1" customWidth="1"/>
  </cols>
  <sheetData>
    <row r="1" spans="1:25" x14ac:dyDescent="0.2">
      <c r="A1" s="7" t="s">
        <v>537</v>
      </c>
      <c r="B1" s="70"/>
    </row>
    <row r="2" spans="1:25" x14ac:dyDescent="0.2">
      <c r="A2" s="7" t="s">
        <v>35</v>
      </c>
      <c r="B2" s="70"/>
    </row>
    <row r="3" spans="1:25" x14ac:dyDescent="0.2">
      <c r="C3" s="145"/>
      <c r="D3" s="69"/>
    </row>
    <row r="4" spans="1:25" x14ac:dyDescent="0.2">
      <c r="B4" s="177" t="s">
        <v>455</v>
      </c>
      <c r="C4" s="177"/>
      <c r="D4" s="177"/>
      <c r="E4" s="177"/>
      <c r="F4" s="177"/>
      <c r="G4" s="177"/>
      <c r="H4" s="177"/>
      <c r="I4" s="177"/>
      <c r="J4" s="177"/>
      <c r="K4" s="177"/>
      <c r="L4" s="177"/>
      <c r="M4" s="177"/>
      <c r="N4" s="177"/>
      <c r="O4" s="177"/>
      <c r="P4" s="177"/>
      <c r="Q4" s="177"/>
      <c r="R4" s="177"/>
      <c r="S4" s="177"/>
      <c r="T4" s="177"/>
      <c r="U4" s="177"/>
      <c r="V4" s="177"/>
      <c r="W4" s="177"/>
    </row>
    <row r="5" spans="1:25" x14ac:dyDescent="0.2">
      <c r="C5" t="s">
        <v>45</v>
      </c>
      <c r="D5" t="s">
        <v>46</v>
      </c>
    </row>
    <row r="6" spans="1:25" x14ac:dyDescent="0.2">
      <c r="C6" s="23" t="s">
        <v>47</v>
      </c>
      <c r="D6" s="5" t="s">
        <v>48</v>
      </c>
      <c r="E6" s="5" t="s">
        <v>49</v>
      </c>
      <c r="F6" s="5" t="s">
        <v>50</v>
      </c>
      <c r="G6" s="5" t="s">
        <v>51</v>
      </c>
      <c r="H6" s="5" t="s">
        <v>52</v>
      </c>
      <c r="I6" s="5" t="s">
        <v>53</v>
      </c>
      <c r="J6" s="5" t="s">
        <v>54</v>
      </c>
      <c r="K6" s="5" t="s">
        <v>55</v>
      </c>
      <c r="L6" s="5" t="s">
        <v>56</v>
      </c>
      <c r="M6" s="5" t="s">
        <v>57</v>
      </c>
      <c r="N6" s="5" t="s">
        <v>58</v>
      </c>
      <c r="O6" s="5" t="s">
        <v>59</v>
      </c>
      <c r="P6" s="5" t="s">
        <v>60</v>
      </c>
      <c r="Q6" s="5" t="s">
        <v>61</v>
      </c>
      <c r="R6" s="5" t="s">
        <v>62</v>
      </c>
      <c r="S6" s="5" t="s">
        <v>63</v>
      </c>
      <c r="T6" s="5" t="s">
        <v>64</v>
      </c>
      <c r="U6" s="5" t="s">
        <v>65</v>
      </c>
      <c r="V6" s="5" t="s">
        <v>66</v>
      </c>
      <c r="W6" s="5" t="s">
        <v>67</v>
      </c>
      <c r="X6" s="5" t="s">
        <v>526</v>
      </c>
      <c r="Y6" s="175" t="s">
        <v>527</v>
      </c>
    </row>
    <row r="7" spans="1:25" x14ac:dyDescent="0.2">
      <c r="B7" t="s">
        <v>68</v>
      </c>
      <c r="C7" s="165">
        <f>'Financial Statements &amp; Metrics'!$N$10</f>
        <v>1107416</v>
      </c>
      <c r="D7" s="99">
        <f>C7*(1+D$8)</f>
        <v>1140638.48</v>
      </c>
      <c r="E7" s="99">
        <f t="shared" ref="E7:W7" si="0">D7*(1+E$8)</f>
        <v>1174857.6344000001</v>
      </c>
      <c r="F7" s="99">
        <f t="shared" si="0"/>
        <v>1210103.3634320002</v>
      </c>
      <c r="G7" s="99">
        <f t="shared" si="0"/>
        <v>1246406.4643349601</v>
      </c>
      <c r="H7" s="99">
        <f t="shared" si="0"/>
        <v>1271334.5936216593</v>
      </c>
      <c r="I7" s="99">
        <f t="shared" si="0"/>
        <v>1296761.2854940926</v>
      </c>
      <c r="J7" s="99">
        <f t="shared" si="0"/>
        <v>1322696.5112039745</v>
      </c>
      <c r="K7" s="99">
        <f t="shared" si="0"/>
        <v>1349150.4414280539</v>
      </c>
      <c r="L7" s="99">
        <f t="shared" si="0"/>
        <v>1372760.574153045</v>
      </c>
      <c r="M7" s="99">
        <f t="shared" si="0"/>
        <v>1396783.8842007234</v>
      </c>
      <c r="N7" s="99">
        <f t="shared" si="0"/>
        <v>1421227.6021742362</v>
      </c>
      <c r="O7" s="99">
        <f t="shared" si="0"/>
        <v>1446099.0852122854</v>
      </c>
      <c r="P7" s="99">
        <f t="shared" si="0"/>
        <v>1460560.0760644083</v>
      </c>
      <c r="Q7" s="99">
        <f t="shared" si="0"/>
        <v>1475165.6768250524</v>
      </c>
      <c r="R7" s="99">
        <f t="shared" si="0"/>
        <v>1489917.3335933029</v>
      </c>
      <c r="S7" s="99">
        <f t="shared" si="0"/>
        <v>1504816.506929236</v>
      </c>
      <c r="T7" s="99">
        <f t="shared" si="0"/>
        <v>1516102.6307312055</v>
      </c>
      <c r="U7" s="99">
        <f t="shared" si="0"/>
        <v>1527473.4004616896</v>
      </c>
      <c r="V7" s="99">
        <f t="shared" si="0"/>
        <v>1538929.4509651524</v>
      </c>
      <c r="W7" s="99">
        <f t="shared" si="0"/>
        <v>1550471.4218473912</v>
      </c>
    </row>
    <row r="8" spans="1:25" x14ac:dyDescent="0.2">
      <c r="B8" t="s">
        <v>69</v>
      </c>
      <c r="C8" s="72"/>
      <c r="D8" s="84">
        <f>'Assumptions &amp; Drivers'!C$21</f>
        <v>0.03</v>
      </c>
      <c r="E8" s="84">
        <f>'Assumptions &amp; Drivers'!D$21</f>
        <v>0.03</v>
      </c>
      <c r="F8" s="84">
        <f>'Assumptions &amp; Drivers'!E$21</f>
        <v>0.03</v>
      </c>
      <c r="G8" s="84">
        <f>'Assumptions &amp; Drivers'!F$21</f>
        <v>0.03</v>
      </c>
      <c r="H8" s="84">
        <f>'Assumptions &amp; Drivers'!G$21</f>
        <v>0.02</v>
      </c>
      <c r="I8" s="84">
        <f>'Assumptions &amp; Drivers'!H$21</f>
        <v>0.02</v>
      </c>
      <c r="J8" s="84">
        <f>'Assumptions &amp; Drivers'!I$21</f>
        <v>0.02</v>
      </c>
      <c r="K8" s="84">
        <f>'Assumptions &amp; Drivers'!J$21</f>
        <v>0.02</v>
      </c>
      <c r="L8" s="84">
        <f>'Assumptions &amp; Drivers'!K$21</f>
        <v>1.7500000000000002E-2</v>
      </c>
      <c r="M8" s="84">
        <f>'Assumptions &amp; Drivers'!L$21</f>
        <v>1.7500000000000002E-2</v>
      </c>
      <c r="N8" s="84">
        <f>'Assumptions &amp; Drivers'!M$21</f>
        <v>1.7500000000000002E-2</v>
      </c>
      <c r="O8" s="84">
        <f>'Assumptions &amp; Drivers'!N$21</f>
        <v>1.7500000000000002E-2</v>
      </c>
      <c r="P8" s="84">
        <f>'Assumptions &amp; Drivers'!O$21</f>
        <v>0.01</v>
      </c>
      <c r="Q8" s="84">
        <f>'Assumptions &amp; Drivers'!P$21</f>
        <v>0.01</v>
      </c>
      <c r="R8" s="84">
        <f>'Assumptions &amp; Drivers'!Q$21</f>
        <v>0.01</v>
      </c>
      <c r="S8" s="84">
        <f>'Assumptions &amp; Drivers'!R$21</f>
        <v>0.01</v>
      </c>
      <c r="T8" s="84">
        <f>'Assumptions &amp; Drivers'!S$21</f>
        <v>7.4999999999999997E-3</v>
      </c>
      <c r="U8" s="84">
        <f>'Assumptions &amp; Drivers'!T$21</f>
        <v>7.4999999999999997E-3</v>
      </c>
      <c r="V8" s="84">
        <f>'Assumptions &amp; Drivers'!U$21</f>
        <v>7.4999999999999997E-3</v>
      </c>
      <c r="W8" s="84">
        <f>'Assumptions &amp; Drivers'!V$21</f>
        <v>7.4999999999999997E-3</v>
      </c>
      <c r="X8" s="174">
        <f>((W7/D7)^(1/20))-1</f>
        <v>1.5466936429448408E-2</v>
      </c>
      <c r="Y8" s="14">
        <f>((1+X8)^4)-1</f>
        <v>6.3317960062923673E-2</v>
      </c>
    </row>
    <row r="9" spans="1:25" x14ac:dyDescent="0.2">
      <c r="C9" s="72"/>
      <c r="T9" s="72"/>
      <c r="X9" s="5"/>
    </row>
    <row r="10" spans="1:25" x14ac:dyDescent="0.2">
      <c r="B10" t="s">
        <v>70</v>
      </c>
      <c r="C10" s="101">
        <f>C7/'Financial Statements &amp; Metrics'!$N$4</f>
        <v>4412.0159362549803</v>
      </c>
      <c r="D10" s="101">
        <f>D7/'Assumptions &amp; Drivers'!C$23</f>
        <v>4490.7026771653545</v>
      </c>
      <c r="E10" s="101">
        <f>E7/'Assumptions &amp; Drivers'!D$23</f>
        <v>4553.7117612403108</v>
      </c>
      <c r="F10" s="101">
        <f>F7/'Assumptions &amp; Drivers'!E$23</f>
        <v>4566.4277865358499</v>
      </c>
      <c r="G10" s="101">
        <f>G7/'Assumptions &amp; Drivers'!F$23</f>
        <v>4515.9654504889859</v>
      </c>
      <c r="H10" s="101">
        <f>H7/'Assumptions &amp; Drivers'!G$23</f>
        <v>4556.7548158482414</v>
      </c>
      <c r="I10" s="101">
        <f>I7/'Assumptions &amp; Drivers'!H$23</f>
        <v>4582.1953551028009</v>
      </c>
      <c r="J10" s="101">
        <f>J7/'Assumptions &amp; Drivers'!I$23</f>
        <v>4561.0224524274981</v>
      </c>
      <c r="K10" s="101">
        <f>K7/'Assumptions &amp; Drivers'!J$23</f>
        <v>4482.2273801596475</v>
      </c>
      <c r="L10" s="101">
        <f>L7/'Assumptions &amp; Drivers'!K$23</f>
        <v>4515.6597833981741</v>
      </c>
      <c r="M10" s="101">
        <f>M7/'Assumptions &amp; Drivers'!L$23</f>
        <v>4535.0126110413094</v>
      </c>
      <c r="N10" s="101">
        <f>N7/'Assumptions &amp; Drivers'!M$23</f>
        <v>4511.8336576959882</v>
      </c>
      <c r="O10" s="101">
        <f>O7/'Assumptions &amp; Drivers'!N$23</f>
        <v>4435.8867644548636</v>
      </c>
      <c r="P10" s="101">
        <f>P7/'Assumptions &amp; Drivers'!O$23</f>
        <v>4439.3923284632474</v>
      </c>
      <c r="Q10" s="101">
        <f>Q7/'Assumptions &amp; Drivers'!P$23</f>
        <v>4429.9269574325899</v>
      </c>
      <c r="R10" s="101">
        <f>R7/'Assumptions &amp; Drivers'!Q$23</f>
        <v>4382.1098046861853</v>
      </c>
      <c r="S10" s="101">
        <f>S7/'Assumptions &amp; Drivers'!R$23</f>
        <v>4287.2265154679089</v>
      </c>
      <c r="T10" s="101">
        <f>T7/'Assumptions &amp; Drivers'!S$23</f>
        <v>4282.7757930260041</v>
      </c>
      <c r="U10" s="101">
        <f>U7/'Assumptions &amp; Drivers'!T$23</f>
        <v>4266.6854761499708</v>
      </c>
      <c r="V10" s="101">
        <f>V7/'Assumptions &amp; Drivers'!U$23</f>
        <v>4216.245071137404</v>
      </c>
      <c r="W10" s="101">
        <f>W7/'Assumptions &amp; Drivers'!V$23</f>
        <v>4123.5942070409337</v>
      </c>
      <c r="X10" s="5"/>
    </row>
    <row r="11" spans="1:25" x14ac:dyDescent="0.2">
      <c r="B11" t="s">
        <v>71</v>
      </c>
      <c r="C11" s="72"/>
      <c r="D11" s="73">
        <f>(D10/C10-1)</f>
        <v>1.7834645669291271E-2</v>
      </c>
      <c r="E11" s="73">
        <f t="shared" ref="E11:W11" si="1">(E10/D10-1)</f>
        <v>1.4031007751938107E-2</v>
      </c>
      <c r="F11" s="73">
        <f t="shared" si="1"/>
        <v>2.7924528301888074E-3</v>
      </c>
      <c r="G11" s="73">
        <f t="shared" si="1"/>
        <v>-1.1050724637681308E-2</v>
      </c>
      <c r="H11" s="73">
        <f t="shared" si="1"/>
        <v>9.0322580645161299E-3</v>
      </c>
      <c r="I11" s="73">
        <f t="shared" si="1"/>
        <v>5.5830388692581501E-3</v>
      </c>
      <c r="J11" s="73">
        <f t="shared" si="1"/>
        <v>-4.620689655172483E-3</v>
      </c>
      <c r="K11" s="73">
        <f t="shared" si="1"/>
        <v>-1.7275747508305739E-2</v>
      </c>
      <c r="L11" s="73">
        <f t="shared" si="1"/>
        <v>7.4588815789473628E-3</v>
      </c>
      <c r="M11" s="73">
        <f t="shared" si="1"/>
        <v>4.2857142857142261E-3</v>
      </c>
      <c r="N11" s="73">
        <f t="shared" si="1"/>
        <v>-5.1111111111108443E-3</v>
      </c>
      <c r="O11" s="73">
        <f t="shared" si="1"/>
        <v>-1.6832822085889543E-2</v>
      </c>
      <c r="P11" s="73">
        <f t="shared" si="1"/>
        <v>7.9027355623106921E-4</v>
      </c>
      <c r="Q11" s="73">
        <f t="shared" si="1"/>
        <v>-2.1321321321321474E-3</v>
      </c>
      <c r="R11" s="73">
        <f t="shared" si="1"/>
        <v>-1.0794117647058843E-2</v>
      </c>
      <c r="S11" s="73">
        <f t="shared" si="1"/>
        <v>-2.165242165242165E-2</v>
      </c>
      <c r="T11" s="73">
        <f t="shared" si="1"/>
        <v>-1.0381355932203018E-3</v>
      </c>
      <c r="U11" s="73">
        <f t="shared" si="1"/>
        <v>-3.7569832402234438E-3</v>
      </c>
      <c r="V11" s="73">
        <f t="shared" si="1"/>
        <v>-1.1821917808219062E-2</v>
      </c>
      <c r="W11" s="73">
        <f t="shared" si="1"/>
        <v>-2.1974734042553234E-2</v>
      </c>
      <c r="X11" s="5"/>
    </row>
    <row r="12" spans="1:25" x14ac:dyDescent="0.2">
      <c r="C12" s="23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23"/>
      <c r="U12" s="5"/>
      <c r="V12" s="5"/>
      <c r="W12" s="5"/>
      <c r="X12" s="5"/>
    </row>
    <row r="13" spans="1:25" x14ac:dyDescent="0.2">
      <c r="B13" s="5" t="s">
        <v>72</v>
      </c>
    </row>
    <row r="14" spans="1:25" x14ac:dyDescent="0.2">
      <c r="B14" t="s">
        <v>73</v>
      </c>
      <c r="C14" s="166">
        <f t="shared" ref="C14:D14" si="2">C7</f>
        <v>1107416</v>
      </c>
      <c r="D14" s="100">
        <f t="shared" si="2"/>
        <v>1140638.48</v>
      </c>
      <c r="E14" s="100">
        <f t="shared" ref="E14:W14" si="3">E7</f>
        <v>1174857.6344000001</v>
      </c>
      <c r="F14" s="100">
        <f t="shared" si="3"/>
        <v>1210103.3634320002</v>
      </c>
      <c r="G14" s="100">
        <f t="shared" si="3"/>
        <v>1246406.4643349601</v>
      </c>
      <c r="H14" s="100">
        <f t="shared" si="3"/>
        <v>1271334.5936216593</v>
      </c>
      <c r="I14" s="100">
        <f t="shared" si="3"/>
        <v>1296761.2854940926</v>
      </c>
      <c r="J14" s="100">
        <f t="shared" si="3"/>
        <v>1322696.5112039745</v>
      </c>
      <c r="K14" s="100">
        <f t="shared" si="3"/>
        <v>1349150.4414280539</v>
      </c>
      <c r="L14" s="100">
        <f t="shared" si="3"/>
        <v>1372760.574153045</v>
      </c>
      <c r="M14" s="100">
        <f t="shared" si="3"/>
        <v>1396783.8842007234</v>
      </c>
      <c r="N14" s="100">
        <f t="shared" si="3"/>
        <v>1421227.6021742362</v>
      </c>
      <c r="O14" s="100">
        <f t="shared" si="3"/>
        <v>1446099.0852122854</v>
      </c>
      <c r="P14" s="100">
        <f t="shared" si="3"/>
        <v>1460560.0760644083</v>
      </c>
      <c r="Q14" s="100">
        <f t="shared" si="3"/>
        <v>1475165.6768250524</v>
      </c>
      <c r="R14" s="100">
        <f t="shared" si="3"/>
        <v>1489917.3335933029</v>
      </c>
      <c r="S14" s="100">
        <f t="shared" si="3"/>
        <v>1504816.506929236</v>
      </c>
      <c r="T14" s="100">
        <f t="shared" si="3"/>
        <v>1516102.6307312055</v>
      </c>
      <c r="U14" s="100">
        <f t="shared" si="3"/>
        <v>1527473.4004616896</v>
      </c>
      <c r="V14" s="100">
        <f t="shared" si="3"/>
        <v>1538929.4509651524</v>
      </c>
      <c r="W14" s="100">
        <f t="shared" si="3"/>
        <v>1550471.4218473912</v>
      </c>
    </row>
    <row r="15" spans="1:25" x14ac:dyDescent="0.2">
      <c r="B15" t="s">
        <v>69</v>
      </c>
      <c r="C15" s="72"/>
      <c r="D15" s="84">
        <f t="shared" ref="D15" si="4">D8</f>
        <v>0.03</v>
      </c>
      <c r="E15" s="84">
        <f t="shared" ref="E15:W15" si="5">E8</f>
        <v>0.03</v>
      </c>
      <c r="F15" s="84">
        <f t="shared" si="5"/>
        <v>0.03</v>
      </c>
      <c r="G15" s="84">
        <f t="shared" si="5"/>
        <v>0.03</v>
      </c>
      <c r="H15" s="84">
        <f t="shared" si="5"/>
        <v>0.02</v>
      </c>
      <c r="I15" s="84">
        <f t="shared" si="5"/>
        <v>0.02</v>
      </c>
      <c r="J15" s="84">
        <f t="shared" si="5"/>
        <v>0.02</v>
      </c>
      <c r="K15" s="84">
        <f t="shared" si="5"/>
        <v>0.02</v>
      </c>
      <c r="L15" s="84">
        <f t="shared" si="5"/>
        <v>1.7500000000000002E-2</v>
      </c>
      <c r="M15" s="84">
        <f t="shared" si="5"/>
        <v>1.7500000000000002E-2</v>
      </c>
      <c r="N15" s="84">
        <f t="shared" si="5"/>
        <v>1.7500000000000002E-2</v>
      </c>
      <c r="O15" s="84">
        <f t="shared" si="5"/>
        <v>1.7500000000000002E-2</v>
      </c>
      <c r="P15" s="84">
        <f t="shared" si="5"/>
        <v>0.01</v>
      </c>
      <c r="Q15" s="84">
        <f t="shared" si="5"/>
        <v>0.01</v>
      </c>
      <c r="R15" s="84">
        <f t="shared" si="5"/>
        <v>0.01</v>
      </c>
      <c r="S15" s="84">
        <f t="shared" si="5"/>
        <v>0.01</v>
      </c>
      <c r="T15" s="84">
        <f t="shared" si="5"/>
        <v>7.4999999999999997E-3</v>
      </c>
      <c r="U15" s="84">
        <f t="shared" si="5"/>
        <v>7.4999999999999997E-3</v>
      </c>
      <c r="V15" s="84">
        <f t="shared" si="5"/>
        <v>7.4999999999999997E-3</v>
      </c>
      <c r="W15" s="84">
        <f t="shared" si="5"/>
        <v>7.4999999999999997E-3</v>
      </c>
    </row>
    <row r="16" spans="1:25" x14ac:dyDescent="0.2">
      <c r="B16" t="s">
        <v>74</v>
      </c>
      <c r="C16" s="105">
        <f>C14*'Financial Statements &amp; Metrics'!$N$104</f>
        <v>626095</v>
      </c>
      <c r="D16" s="105">
        <f>D14*'Assumptions &amp; Drivers'!C$25</f>
        <v>644877.85</v>
      </c>
      <c r="E16" s="105">
        <f>E14*'Assumptions &amp; Drivers'!D$25</f>
        <v>664224.18550000002</v>
      </c>
      <c r="F16" s="105">
        <f>F14*'Assumptions &amp; Drivers'!E$25</f>
        <v>684150.91106500011</v>
      </c>
      <c r="G16" s="105">
        <f>G14*'Assumptions &amp; Drivers'!F$25</f>
        <v>704675.43839695002</v>
      </c>
      <c r="H16" s="105">
        <f>H14*'Assumptions &amp; Drivers'!G$25</f>
        <v>718768.94716488908</v>
      </c>
      <c r="I16" s="105">
        <f>I14*'Assumptions &amp; Drivers'!H$25</f>
        <v>733144.32610818697</v>
      </c>
      <c r="J16" s="105">
        <f>J14*'Assumptions &amp; Drivers'!I$25</f>
        <v>747807.21263035061</v>
      </c>
      <c r="K16" s="105">
        <f>K14*'Assumptions &amp; Drivers'!J$25</f>
        <v>762763.35688295763</v>
      </c>
      <c r="L16" s="105">
        <f>L14*'Assumptions &amp; Drivers'!K$25</f>
        <v>776111.71562840941</v>
      </c>
      <c r="M16" s="105">
        <f>M14*'Assumptions &amp; Drivers'!L$25</f>
        <v>789693.67065190675</v>
      </c>
      <c r="N16" s="105">
        <f>N14*'Assumptions &amp; Drivers'!M$25</f>
        <v>803513.30988831515</v>
      </c>
      <c r="O16" s="105">
        <f>O14*'Assumptions &amp; Drivers'!N$25</f>
        <v>817574.79281136068</v>
      </c>
      <c r="P16" s="105">
        <f>P14*'Assumptions &amp; Drivers'!O$25</f>
        <v>825750.54073947435</v>
      </c>
      <c r="Q16" s="105">
        <f>Q14*'Assumptions &amp; Drivers'!P$25</f>
        <v>834008.04614686908</v>
      </c>
      <c r="R16" s="105">
        <f>R14*'Assumptions &amp; Drivers'!Q$25</f>
        <v>842348.12660833774</v>
      </c>
      <c r="S16" s="105">
        <f>S14*'Assumptions &amp; Drivers'!R$25</f>
        <v>850771.60787442117</v>
      </c>
      <c r="T16" s="105">
        <f>T14*'Assumptions &amp; Drivers'!S$25</f>
        <v>857152.39493347949</v>
      </c>
      <c r="U16" s="105">
        <f>U14*'Assumptions &amp; Drivers'!T$25</f>
        <v>863581.03789548064</v>
      </c>
      <c r="V16" s="105">
        <f>V14*'Assumptions &amp; Drivers'!U$25</f>
        <v>870057.89567969681</v>
      </c>
      <c r="W16" s="105">
        <f>W14*'Assumptions &amp; Drivers'!V$25</f>
        <v>876583.32989729464</v>
      </c>
    </row>
    <row r="17" spans="2:23" x14ac:dyDescent="0.2">
      <c r="B17" t="s">
        <v>75</v>
      </c>
      <c r="C17" s="105">
        <f>C14-C16</f>
        <v>481321</v>
      </c>
      <c r="D17" s="105">
        <f t="shared" ref="D17" si="6">D14-D16</f>
        <v>495760.63</v>
      </c>
      <c r="E17" s="105">
        <f t="shared" ref="E17:W17" si="7">E14-E16</f>
        <v>510633.44890000008</v>
      </c>
      <c r="F17" s="105">
        <f t="shared" si="7"/>
        <v>525952.45236700005</v>
      </c>
      <c r="G17" s="105">
        <f t="shared" si="7"/>
        <v>541731.02593801008</v>
      </c>
      <c r="H17" s="105">
        <f t="shared" si="7"/>
        <v>552565.64645677025</v>
      </c>
      <c r="I17" s="105">
        <f t="shared" si="7"/>
        <v>563616.95938590565</v>
      </c>
      <c r="J17" s="105">
        <f t="shared" si="7"/>
        <v>574889.29857362388</v>
      </c>
      <c r="K17" s="105">
        <f t="shared" si="7"/>
        <v>586387.08454509627</v>
      </c>
      <c r="L17" s="105">
        <f t="shared" si="7"/>
        <v>596648.85852463555</v>
      </c>
      <c r="M17" s="105">
        <f t="shared" si="7"/>
        <v>607090.21354881662</v>
      </c>
      <c r="N17" s="105">
        <f t="shared" si="7"/>
        <v>617714.29228592105</v>
      </c>
      <c r="O17" s="105">
        <f t="shared" si="7"/>
        <v>628524.29240092472</v>
      </c>
      <c r="P17" s="105">
        <f t="shared" si="7"/>
        <v>634809.53532493394</v>
      </c>
      <c r="Q17" s="105">
        <f t="shared" si="7"/>
        <v>641157.63067818328</v>
      </c>
      <c r="R17" s="105">
        <f t="shared" si="7"/>
        <v>647569.20698496513</v>
      </c>
      <c r="S17" s="105">
        <f t="shared" si="7"/>
        <v>654044.89905481483</v>
      </c>
      <c r="T17" s="105">
        <f t="shared" si="7"/>
        <v>658950.23579772597</v>
      </c>
      <c r="U17" s="105">
        <f t="shared" si="7"/>
        <v>663892.36256620893</v>
      </c>
      <c r="V17" s="105">
        <f t="shared" si="7"/>
        <v>668871.55528545554</v>
      </c>
      <c r="W17" s="105">
        <f t="shared" si="7"/>
        <v>673888.09195009654</v>
      </c>
    </row>
    <row r="18" spans="2:23" x14ac:dyDescent="0.2">
      <c r="B18" t="s">
        <v>76</v>
      </c>
      <c r="C18" s="105">
        <f>C14*'Financial Statements &amp; Metrics'!$N$106</f>
        <v>422101</v>
      </c>
      <c r="D18" s="105">
        <f>D14*'Assumptions &amp; Drivers'!C$26</f>
        <v>434764.02999999997</v>
      </c>
      <c r="E18" s="105">
        <f>E14*'Assumptions &amp; Drivers'!D$26</f>
        <v>445594.34652114601</v>
      </c>
      <c r="F18" s="105">
        <f>F14*'Assumptions &amp; Drivers'!E$26</f>
        <v>456683.1944065608</v>
      </c>
      <c r="G18" s="105">
        <f>G14*'Assumptions &amp; Drivers'!F$26</f>
        <v>468036.33825323137</v>
      </c>
      <c r="H18" s="105">
        <f>H14*'Assumptions &amp; Drivers'!G$26</f>
        <v>475002.76599305921</v>
      </c>
      <c r="I18" s="105">
        <f>I14*'Assumptions &amp; Drivers'!H$26</f>
        <v>482060.63630717894</v>
      </c>
      <c r="J18" s="105">
        <f>J14*'Assumptions &amp; Drivers'!I$26</f>
        <v>489210.82032746624</v>
      </c>
      <c r="K18" s="105">
        <f>K14*'Assumptions &amp; Drivers'!J$26</f>
        <v>496454.18745404208</v>
      </c>
      <c r="L18" s="105">
        <f>L14*'Assumptions &amp; Drivers'!K$26</f>
        <v>502556.82159211487</v>
      </c>
      <c r="M18" s="105">
        <f>M14*'Assumptions &amp; Drivers'!L$26</f>
        <v>508721.00883011246</v>
      </c>
      <c r="N18" s="105">
        <f>N14*'Assumptions &amp; Drivers'!M$26</f>
        <v>514947.03459482733</v>
      </c>
      <c r="O18" s="105">
        <f>O14*'Assumptions &amp; Drivers'!N$26</f>
        <v>521235.17545235297</v>
      </c>
      <c r="P18" s="105">
        <f>P14*'Assumptions &amp; Drivers'!O$26</f>
        <v>523696.86063651385</v>
      </c>
      <c r="Q18" s="105">
        <f>Q14*'Assumptions &amp; Drivers'!P$26</f>
        <v>526155.6560068127</v>
      </c>
      <c r="R18" s="105">
        <f>R14*'Assumptions &amp; Drivers'!Q$26</f>
        <v>528611.25759845378</v>
      </c>
      <c r="S18" s="105">
        <f>S14*'Assumptions &amp; Drivers'!R$26</f>
        <v>531063.3556563271</v>
      </c>
      <c r="T18" s="105">
        <f>T14*'Assumptions &amp; Drivers'!S$26</f>
        <v>532191.06119675259</v>
      </c>
      <c r="U18" s="105">
        <f>U14*'Assumptions &amp; Drivers'!T$26</f>
        <v>533305.81000652874</v>
      </c>
      <c r="V18" s="105">
        <f>V14*'Assumptions &amp; Drivers'!U$26</f>
        <v>534407.34430125915</v>
      </c>
      <c r="W18" s="105">
        <f>W14*'Assumptions &amp; Drivers'!V$26</f>
        <v>535495.40315859695</v>
      </c>
    </row>
    <row r="19" spans="2:23" x14ac:dyDescent="0.2">
      <c r="B19" t="s">
        <v>77</v>
      </c>
      <c r="C19" s="105">
        <f>C17-C18</f>
        <v>59220</v>
      </c>
      <c r="D19" s="105">
        <f t="shared" ref="D19" si="8">D17-D18</f>
        <v>60996.600000000035</v>
      </c>
      <c r="E19" s="105">
        <f t="shared" ref="E19:W19" si="9">E17-E18</f>
        <v>65039.102378854062</v>
      </c>
      <c r="F19" s="105">
        <f t="shared" si="9"/>
        <v>69269.257960439252</v>
      </c>
      <c r="G19" s="105">
        <f t="shared" si="9"/>
        <v>73694.687684778706</v>
      </c>
      <c r="H19" s="105">
        <f t="shared" si="9"/>
        <v>77562.880463711044</v>
      </c>
      <c r="I19" s="105">
        <f t="shared" si="9"/>
        <v>81556.323078726709</v>
      </c>
      <c r="J19" s="105">
        <f t="shared" si="9"/>
        <v>85678.47824615764</v>
      </c>
      <c r="K19" s="105">
        <f t="shared" si="9"/>
        <v>89932.897091054183</v>
      </c>
      <c r="L19" s="105">
        <f t="shared" si="9"/>
        <v>94092.036932520685</v>
      </c>
      <c r="M19" s="105">
        <f t="shared" si="9"/>
        <v>98369.204718704161</v>
      </c>
      <c r="N19" s="105">
        <f t="shared" si="9"/>
        <v>102767.25769109372</v>
      </c>
      <c r="O19" s="105">
        <f t="shared" si="9"/>
        <v>107289.11694857175</v>
      </c>
      <c r="P19" s="105">
        <f t="shared" si="9"/>
        <v>111112.67468842008</v>
      </c>
      <c r="Q19" s="105">
        <f t="shared" si="9"/>
        <v>115001.97467137058</v>
      </c>
      <c r="R19" s="105">
        <f t="shared" si="9"/>
        <v>118957.94938651135</v>
      </c>
      <c r="S19" s="105">
        <f t="shared" si="9"/>
        <v>122981.54339848773</v>
      </c>
      <c r="T19" s="105">
        <f t="shared" si="9"/>
        <v>126759.17460097338</v>
      </c>
      <c r="U19" s="105">
        <f t="shared" si="9"/>
        <v>130586.55255968019</v>
      </c>
      <c r="V19" s="105">
        <f t="shared" si="9"/>
        <v>134464.2109841964</v>
      </c>
      <c r="W19" s="105">
        <f t="shared" si="9"/>
        <v>138392.68879149959</v>
      </c>
    </row>
    <row r="20" spans="2:23" x14ac:dyDescent="0.2">
      <c r="B20" t="s">
        <v>13</v>
      </c>
      <c r="C20" s="102">
        <f>'Financial Statements &amp; Metrics'!$N$113</f>
        <v>0.19863637897863434</v>
      </c>
      <c r="D20" s="102">
        <f>'Assumptions &amp; Drivers'!C$28</f>
        <v>0.215</v>
      </c>
      <c r="E20" s="102">
        <f>'Assumptions &amp; Drivers'!D$28</f>
        <v>0.215</v>
      </c>
      <c r="F20" s="102">
        <f>'Assumptions &amp; Drivers'!E$28</f>
        <v>0.215</v>
      </c>
      <c r="G20" s="102">
        <f>'Assumptions &amp; Drivers'!F$28</f>
        <v>0.215</v>
      </c>
      <c r="H20" s="86">
        <f>'Assumptions &amp; Drivers'!G$28</f>
        <v>0.20644366131306424</v>
      </c>
      <c r="I20" s="86">
        <f>'Assumptions &amp; Drivers'!H$28</f>
        <v>0.20644366131306424</v>
      </c>
      <c r="J20" s="86">
        <f>'Assumptions &amp; Drivers'!I$28</f>
        <v>0.20644366131306424</v>
      </c>
      <c r="K20" s="86">
        <f>'Assumptions &amp; Drivers'!J$28</f>
        <v>0.20644366131306424</v>
      </c>
      <c r="L20" s="86">
        <f>'Assumptions &amp; Drivers'!K$28</f>
        <v>0.20644366131306424</v>
      </c>
      <c r="M20" s="86">
        <f>'Assumptions &amp; Drivers'!L$28</f>
        <v>0.20644366131306424</v>
      </c>
      <c r="N20" s="86">
        <f>'Assumptions &amp; Drivers'!M$28</f>
        <v>0.20644366131306424</v>
      </c>
      <c r="O20" s="86">
        <f>'Assumptions &amp; Drivers'!N$28</f>
        <v>0.20644366131306424</v>
      </c>
      <c r="P20" s="86">
        <f>'Assumptions &amp; Drivers'!O$28</f>
        <v>0.20644366131306424</v>
      </c>
      <c r="Q20" s="86">
        <f>'Assumptions &amp; Drivers'!P$28</f>
        <v>0.20644366131306424</v>
      </c>
      <c r="R20" s="86">
        <f>'Assumptions &amp; Drivers'!Q$28</f>
        <v>0.20644366131306424</v>
      </c>
      <c r="S20" s="86">
        <f>'Assumptions &amp; Drivers'!R$28</f>
        <v>0.20644366131306424</v>
      </c>
      <c r="T20" s="86">
        <f>'Assumptions &amp; Drivers'!S$28</f>
        <v>0.20644366131306424</v>
      </c>
      <c r="U20" s="86">
        <f>'Assumptions &amp; Drivers'!T$28</f>
        <v>0.20644366131306424</v>
      </c>
      <c r="V20" s="86">
        <f>'Assumptions &amp; Drivers'!U$28</f>
        <v>0.20644366131306424</v>
      </c>
      <c r="W20" s="86">
        <f>'Assumptions &amp; Drivers'!V$28</f>
        <v>0.20644366131306424</v>
      </c>
    </row>
    <row r="21" spans="2:23" x14ac:dyDescent="0.2">
      <c r="B21" t="s">
        <v>78</v>
      </c>
      <c r="C21" s="105">
        <f>C19*(1-C20)</f>
        <v>47456.753636885274</v>
      </c>
      <c r="D21" s="105">
        <f t="shared" ref="D21" si="10">D19*(1-D20)</f>
        <v>47882.331000000027</v>
      </c>
      <c r="E21" s="105">
        <f t="shared" ref="E21:W21" si="11">E19*(1-E20)</f>
        <v>51055.69536740044</v>
      </c>
      <c r="F21" s="105">
        <f t="shared" si="11"/>
        <v>54376.367498944812</v>
      </c>
      <c r="G21" s="105">
        <f t="shared" si="11"/>
        <v>57850.329832551288</v>
      </c>
      <c r="H21" s="105">
        <f t="shared" si="11"/>
        <v>61550.515438794995</v>
      </c>
      <c r="I21" s="105">
        <f t="shared" si="11"/>
        <v>64719.537139123211</v>
      </c>
      <c r="J21" s="105">
        <f t="shared" si="11"/>
        <v>67990.699501289128</v>
      </c>
      <c r="K21" s="105">
        <f t="shared" si="11"/>
        <v>71366.820543085938</v>
      </c>
      <c r="L21" s="105">
        <f t="shared" si="11"/>
        <v>74667.332327767057</v>
      </c>
      <c r="M21" s="105">
        <f t="shared" si="11"/>
        <v>78061.50593612052</v>
      </c>
      <c r="N21" s="105">
        <f t="shared" si="11"/>
        <v>81551.608750241168</v>
      </c>
      <c r="O21" s="105">
        <f t="shared" si="11"/>
        <v>85139.95882666306</v>
      </c>
      <c r="P21" s="105">
        <f t="shared" si="11"/>
        <v>88174.167307455209</v>
      </c>
      <c r="Q21" s="105">
        <f t="shared" si="11"/>
        <v>91260.545961980562</v>
      </c>
      <c r="R21" s="105">
        <f t="shared" si="11"/>
        <v>94399.834772865754</v>
      </c>
      <c r="S21" s="105">
        <f t="shared" si="11"/>
        <v>97592.783305372417</v>
      </c>
      <c r="T21" s="105">
        <f t="shared" si="11"/>
        <v>100590.54649132646</v>
      </c>
      <c r="U21" s="105">
        <f t="shared" si="11"/>
        <v>103627.78653100891</v>
      </c>
      <c r="V21" s="105">
        <f t="shared" si="11"/>
        <v>106704.92695304654</v>
      </c>
      <c r="W21" s="105">
        <f t="shared" si="11"/>
        <v>109822.39541842295</v>
      </c>
    </row>
    <row r="22" spans="2:23" x14ac:dyDescent="0.2">
      <c r="C22" s="105"/>
      <c r="D22" s="105"/>
      <c r="E22" s="105"/>
      <c r="F22" s="105"/>
      <c r="G22" s="105"/>
      <c r="H22" s="105"/>
      <c r="I22" s="105"/>
      <c r="J22" s="105"/>
      <c r="K22" s="105"/>
      <c r="L22" s="105"/>
      <c r="M22" s="105"/>
      <c r="N22" s="105"/>
      <c r="O22" s="105"/>
      <c r="P22" s="105"/>
      <c r="Q22" s="105"/>
      <c r="R22" s="105"/>
      <c r="S22" s="105"/>
      <c r="T22" s="105"/>
      <c r="U22" s="105"/>
      <c r="V22" s="105"/>
      <c r="W22" s="105"/>
    </row>
    <row r="23" spans="2:23" x14ac:dyDescent="0.2">
      <c r="B23" t="s">
        <v>15</v>
      </c>
      <c r="C23" s="105">
        <f>C14*'Financial Statements &amp; Metrics'!$N$100</f>
        <v>59783</v>
      </c>
      <c r="D23" s="105">
        <f>D14*'Assumptions &amp; Drivers'!C$27</f>
        <v>57031.923999999999</v>
      </c>
      <c r="E23" s="105">
        <f>E14*'Assumptions &amp; Drivers'!D$27</f>
        <v>58742.881720000005</v>
      </c>
      <c r="F23" s="105">
        <f>F14*'Assumptions &amp; Drivers'!E$27</f>
        <v>60505.168171600009</v>
      </c>
      <c r="G23" s="105">
        <f>G14*'Assumptions &amp; Drivers'!F$27</f>
        <v>62320.323216748009</v>
      </c>
      <c r="H23" s="105">
        <f>H14*'Assumptions &amp; Drivers'!G$27</f>
        <v>63566.729681082972</v>
      </c>
      <c r="I23" s="105">
        <f>I14*'Assumptions &amp; Drivers'!H$27</f>
        <v>64838.064274704637</v>
      </c>
      <c r="J23" s="105">
        <f>J14*'Assumptions &amp; Drivers'!I$27</f>
        <v>66134.825560198733</v>
      </c>
      <c r="K23" s="105">
        <f>K14*'Assumptions &amp; Drivers'!J$27</f>
        <v>67457.522071402695</v>
      </c>
      <c r="L23" s="105">
        <f>L14*'Assumptions &amp; Drivers'!K$27</f>
        <v>68638.028707652251</v>
      </c>
      <c r="M23" s="105">
        <f>M14*'Assumptions &amp; Drivers'!L$27</f>
        <v>69839.194210036178</v>
      </c>
      <c r="N23" s="105">
        <f>N14*'Assumptions &amp; Drivers'!M$27</f>
        <v>71061.380108711819</v>
      </c>
      <c r="O23" s="105">
        <f>O14*'Assumptions &amp; Drivers'!N$27</f>
        <v>72304.954260614279</v>
      </c>
      <c r="P23" s="105">
        <f>P14*'Assumptions &amp; Drivers'!O$27</f>
        <v>73028.003803220417</v>
      </c>
      <c r="Q23" s="105">
        <f>Q14*'Assumptions &amp; Drivers'!P$27</f>
        <v>73758.283841252618</v>
      </c>
      <c r="R23" s="105">
        <f>R14*'Assumptions &amp; Drivers'!Q$27</f>
        <v>74495.866679665152</v>
      </c>
      <c r="S23" s="105">
        <f>S14*'Assumptions &amp; Drivers'!R$27</f>
        <v>75240.825346461803</v>
      </c>
      <c r="T23" s="105">
        <f>T14*'Assumptions &amp; Drivers'!S$27</f>
        <v>75805.131536560279</v>
      </c>
      <c r="U23" s="105">
        <f>U14*'Assumptions &amp; Drivers'!T$27</f>
        <v>76373.670023084487</v>
      </c>
      <c r="V23" s="105">
        <f>V14*'Assumptions &amp; Drivers'!U$27</f>
        <v>76946.472548257618</v>
      </c>
      <c r="W23" s="105">
        <f>W14*'Assumptions &amp; Drivers'!V$27</f>
        <v>77523.571092369559</v>
      </c>
    </row>
    <row r="24" spans="2:23" x14ac:dyDescent="0.2">
      <c r="B24" t="s">
        <v>34</v>
      </c>
      <c r="C24" s="105">
        <f>'Financial Statements &amp; Metrics'!$N$71</f>
        <v>27032</v>
      </c>
      <c r="D24" s="105">
        <f>'Assumptions &amp; Drivers'!C$32</f>
        <v>-12090.878380000002</v>
      </c>
      <c r="E24" s="105">
        <f>'Assumptions &amp; Drivers'!D$32</f>
        <v>276.6048314000036</v>
      </c>
      <c r="F24" s="105">
        <f>'Assumptions &amp; Drivers'!E$32</f>
        <v>569.80595268400066</v>
      </c>
      <c r="G24" s="105">
        <f>'Assumptions &amp; Drivers'!F$32</f>
        <v>2135.8324364574837</v>
      </c>
      <c r="H24" s="105">
        <f>'Assumptions &amp; Drivers'!G$32</f>
        <v>317.83364840541617</v>
      </c>
      <c r="I24" s="105">
        <f>'Assumptions &amp; Drivers'!H$32</f>
        <v>-6.3566729681078868</v>
      </c>
      <c r="J24" s="105">
        <f>'Assumptions &amp; Drivers'!I$32</f>
        <v>311.22270851858411</v>
      </c>
      <c r="K24" s="105">
        <f>'Assumptions &amp; Drivers'!J$32</f>
        <v>1997.2717319179937</v>
      </c>
      <c r="L24" s="105">
        <f>'Assumptions &amp; Drivers'!K$32</f>
        <v>258.86824094901385</v>
      </c>
      <c r="M24" s="105">
        <f>'Assumptions &amp; Drivers'!L$32</f>
        <v>-91.803363396480563</v>
      </c>
      <c r="N24" s="105">
        <f>'Assumptions &amp; Drivers'!M$32</f>
        <v>249.67511930088222</v>
      </c>
      <c r="O24" s="105">
        <f>'Assumptions &amp; Drivers'!N$32</f>
        <v>2055.4504196444977</v>
      </c>
      <c r="P24" s="105">
        <f>'Assumptions &amp; Drivers'!O$32</f>
        <v>3.6152477130235638</v>
      </c>
      <c r="Q24" s="105">
        <f>'Assumptions &amp; Drivers'!P$32</f>
        <v>-368.79141920625989</v>
      </c>
      <c r="R24" s="105">
        <f>'Assumptions &amp; Drivers'!Q$32</f>
        <v>-7.3758283841234515</v>
      </c>
      <c r="S24" s="105">
        <f>'Assumptions &amp; Drivers'!R$32</f>
        <v>1869.846253659598</v>
      </c>
      <c r="T24" s="105">
        <f>'Assumptions &amp; Drivers'!S$32</f>
        <v>-91.229500732581073</v>
      </c>
      <c r="U24" s="105">
        <f>'Assumptions &amp; Drivers'!T$32</f>
        <v>-476.6247645361218</v>
      </c>
      <c r="V24" s="105">
        <f>'Assumptions &amp; Drivers'!U$32</f>
        <v>-101.19511278058781</v>
      </c>
      <c r="W24" s="105">
        <f>'Assumptions &amp; Drivers'!V$32</f>
        <v>1833.2497084622446</v>
      </c>
    </row>
    <row r="25" spans="2:23" x14ac:dyDescent="0.2">
      <c r="B25" t="s">
        <v>17</v>
      </c>
      <c r="C25" s="167">
        <v>90000</v>
      </c>
      <c r="D25" s="105">
        <v>90000</v>
      </c>
      <c r="E25" s="105">
        <v>90000</v>
      </c>
      <c r="F25" s="105">
        <v>90000</v>
      </c>
      <c r="G25" s="105">
        <v>90000</v>
      </c>
      <c r="H25" s="105">
        <v>100000</v>
      </c>
      <c r="I25" s="105">
        <v>100000</v>
      </c>
      <c r="J25" s="105">
        <v>100000</v>
      </c>
      <c r="K25" s="105">
        <v>100000</v>
      </c>
      <c r="L25" s="105">
        <v>100000</v>
      </c>
      <c r="M25" s="105">
        <v>100000</v>
      </c>
      <c r="N25" s="105">
        <v>100000</v>
      </c>
      <c r="O25" s="105">
        <v>100000</v>
      </c>
      <c r="P25" s="105">
        <v>100000</v>
      </c>
      <c r="Q25" s="105">
        <v>100000</v>
      </c>
      <c r="R25" s="105">
        <v>100000</v>
      </c>
      <c r="S25" s="105">
        <v>100000</v>
      </c>
      <c r="T25" s="105">
        <v>100000</v>
      </c>
      <c r="U25" s="105">
        <v>100000</v>
      </c>
      <c r="V25" s="105">
        <v>100000</v>
      </c>
      <c r="W25" s="105">
        <v>100000</v>
      </c>
    </row>
    <row r="26" spans="2:23" x14ac:dyDescent="0.2">
      <c r="C26" s="83"/>
      <c r="D26" s="83"/>
      <c r="E26" s="83"/>
      <c r="F26" s="83"/>
      <c r="G26" s="83"/>
      <c r="H26" s="83"/>
      <c r="I26" s="83"/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  <c r="W26" s="83"/>
    </row>
    <row r="27" spans="2:23" x14ac:dyDescent="0.2">
      <c r="B27" t="s">
        <v>72</v>
      </c>
      <c r="C27" s="83">
        <f>C21+C23-C24-C25</f>
        <v>-9792.2463631147257</v>
      </c>
      <c r="D27" s="83">
        <f t="shared" ref="D27:W27" si="12">D21+D23-D24-D25</f>
        <v>27005.133380000043</v>
      </c>
      <c r="E27" s="83">
        <f t="shared" si="12"/>
        <v>19521.972256000445</v>
      </c>
      <c r="F27" s="83">
        <f t="shared" si="12"/>
        <v>24311.729717860813</v>
      </c>
      <c r="G27" s="83">
        <f t="shared" si="12"/>
        <v>28034.82061284181</v>
      </c>
      <c r="H27" s="83">
        <f t="shared" si="12"/>
        <v>24799.411471472558</v>
      </c>
      <c r="I27" s="83">
        <f t="shared" si="12"/>
        <v>29563.958086795959</v>
      </c>
      <c r="J27" s="83">
        <f t="shared" si="12"/>
        <v>33814.302352969273</v>
      </c>
      <c r="K27" s="83">
        <f t="shared" si="12"/>
        <v>36827.070882570639</v>
      </c>
      <c r="L27" s="83">
        <f t="shared" si="12"/>
        <v>43046.492794470279</v>
      </c>
      <c r="M27" s="83">
        <f t="shared" si="12"/>
        <v>47992.503509553208</v>
      </c>
      <c r="N27" s="83">
        <f t="shared" si="12"/>
        <v>52363.313739652105</v>
      </c>
      <c r="O27" s="83">
        <f t="shared" si="12"/>
        <v>55389.462667632819</v>
      </c>
      <c r="P27" s="83">
        <f t="shared" si="12"/>
        <v>61198.555862962588</v>
      </c>
      <c r="Q27" s="83">
        <f t="shared" si="12"/>
        <v>65387.621222439455</v>
      </c>
      <c r="R27" s="83">
        <f t="shared" si="12"/>
        <v>68903.077280915051</v>
      </c>
      <c r="S27" s="83">
        <f t="shared" si="12"/>
        <v>70963.762398174615</v>
      </c>
      <c r="T27" s="83">
        <f t="shared" si="12"/>
        <v>76486.907528619311</v>
      </c>
      <c r="U27" s="83">
        <f t="shared" si="12"/>
        <v>80478.081318629527</v>
      </c>
      <c r="V27" s="83">
        <f t="shared" si="12"/>
        <v>83752.594614084723</v>
      </c>
      <c r="W27" s="83">
        <f t="shared" si="12"/>
        <v>85512.716802330251</v>
      </c>
    </row>
    <row r="28" spans="2:23" x14ac:dyDescent="0.2">
      <c r="B28" t="s">
        <v>79</v>
      </c>
      <c r="D28" s="83">
        <f>D27/(1+'Assumptions &amp; Drivers'!$D$3)^1</f>
        <v>26351.32446499035</v>
      </c>
      <c r="E28" s="83">
        <f>E27/(1+'Assumptions &amp; Drivers'!$D$3)^2</f>
        <v>18588.140009572198</v>
      </c>
      <c r="F28" s="83">
        <f>F27/(1+'Assumptions &amp; Drivers'!$D$3)^3</f>
        <v>22588.335237925548</v>
      </c>
      <c r="G28" s="83">
        <f>G27/(1+'Assumptions &amp; Drivers'!$D$3)^4</f>
        <v>25416.881788614504</v>
      </c>
      <c r="H28" s="83">
        <f>H27/(1+'Assumptions &amp; Drivers'!$D$3)^5</f>
        <v>21939.260452670787</v>
      </c>
      <c r="I28" s="83">
        <f>I27/(1+'Assumptions &amp; Drivers'!$D$3)^6</f>
        <v>25521.095299212433</v>
      </c>
      <c r="J28" s="83">
        <f>J27/(1+'Assumptions &amp; Drivers'!$D$3)^7</f>
        <v>28483.495493880535</v>
      </c>
      <c r="K28" s="83">
        <f>K27/(1+'Assumptions &amp; Drivers'!$D$3)^8</f>
        <v>30270.260110331757</v>
      </c>
      <c r="L28" s="83">
        <f>L27/(1+'Assumptions &amp; Drivers'!$D$3)^9</f>
        <v>34525.73002020819</v>
      </c>
      <c r="M28" s="83">
        <f>M27/(1+'Assumptions &amp; Drivers'!$D$3)^10</f>
        <v>37560.781887455159</v>
      </c>
      <c r="N28" s="83">
        <f>N27/(1+'Assumptions &amp; Drivers'!$D$3)^11</f>
        <v>39989.360886992072</v>
      </c>
      <c r="O28" s="83">
        <f>O27/(1+'Assumptions &amp; Drivers'!$D$3)^12</f>
        <v>41276.286169115054</v>
      </c>
      <c r="P28" s="83">
        <f>P27/(1+'Assumptions &amp; Drivers'!$D$3)^13</f>
        <v>44501.101262928169</v>
      </c>
      <c r="Q28" s="83">
        <f>Q27/(1+'Assumptions &amp; Drivers'!$D$3)^14</f>
        <v>46396.075302349418</v>
      </c>
      <c r="R28" s="83">
        <f>R27/(1+'Assumptions &amp; Drivers'!$D$3)^15</f>
        <v>47706.817585771612</v>
      </c>
      <c r="S28" s="83">
        <f>S27/(1+'Assumptions &amp; Drivers'!$D$3)^16</f>
        <v>47944.035178883911</v>
      </c>
      <c r="T28" s="83">
        <f>T27/(1+'Assumptions &amp; Drivers'!$D$3)^17</f>
        <v>50424.450510446695</v>
      </c>
      <c r="U28" s="83">
        <f>U27/(1+'Assumptions &amp; Drivers'!$D$3)^18</f>
        <v>51771.149485781847</v>
      </c>
      <c r="V28" s="83">
        <f>V27/(1+'Assumptions &amp; Drivers'!$D$3)^19</f>
        <v>52573.221040055461</v>
      </c>
      <c r="W28" s="83">
        <f>W27/(1+'Assumptions &amp; Drivers'!$D$3)^20</f>
        <v>52378.510280379742</v>
      </c>
    </row>
    <row r="29" spans="2:23" x14ac:dyDescent="0.2">
      <c r="B29" s="5" t="s">
        <v>80</v>
      </c>
      <c r="C29" s="83">
        <f>SUM(D28:W28)</f>
        <v>746206.31246756541</v>
      </c>
      <c r="D29" s="83"/>
      <c r="E29" s="83"/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</row>
    <row r="30" spans="2:23" x14ac:dyDescent="0.2">
      <c r="C30" s="83"/>
      <c r="D30" s="83"/>
      <c r="E30" s="83"/>
      <c r="F30" s="83"/>
      <c r="G30" s="83"/>
      <c r="H30" s="83"/>
      <c r="I30" s="83"/>
      <c r="J30" s="83"/>
      <c r="K30" s="83"/>
      <c r="L30" s="83"/>
      <c r="M30" s="83"/>
      <c r="N30" s="83"/>
      <c r="O30" s="83"/>
      <c r="P30" s="83"/>
      <c r="Q30" s="83"/>
      <c r="R30" s="83"/>
      <c r="S30" s="83"/>
      <c r="T30" s="83"/>
      <c r="U30" s="83"/>
      <c r="V30" s="83"/>
      <c r="W30" s="83"/>
    </row>
    <row r="31" spans="2:23" x14ac:dyDescent="0.2">
      <c r="B31" s="5" t="s">
        <v>81</v>
      </c>
      <c r="C31" s="83"/>
      <c r="D31" s="83"/>
      <c r="E31" s="83"/>
      <c r="F31" s="83"/>
      <c r="G31" s="83"/>
      <c r="H31" s="83"/>
      <c r="I31" s="83"/>
      <c r="J31" s="83"/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  <c r="W31" s="83"/>
    </row>
    <row r="32" spans="2:23" x14ac:dyDescent="0.2">
      <c r="B32" t="s">
        <v>82</v>
      </c>
      <c r="C32" s="14">
        <f>'Assumptions &amp; Drivers'!$D$4</f>
        <v>7.4170717777328754E-3</v>
      </c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  <c r="W32" s="83"/>
    </row>
    <row r="33" spans="2:25" x14ac:dyDescent="0.2">
      <c r="B33" t="s">
        <v>83</v>
      </c>
      <c r="C33" s="83">
        <f>W27*(1+C32)</f>
        <v>86146.97076076208</v>
      </c>
      <c r="D33" s="83"/>
      <c r="E33" s="83"/>
      <c r="F33" s="83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</row>
    <row r="34" spans="2:25" x14ac:dyDescent="0.2">
      <c r="B34" t="s">
        <v>84</v>
      </c>
      <c r="C34" s="9">
        <f>C33/('Assumptions &amp; Drivers'!$D$3-'Assumptions &amp; Drivers'!$D$4)</f>
        <v>4952636.5577239143</v>
      </c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  <c r="W34" s="83"/>
    </row>
    <row r="35" spans="2:25" x14ac:dyDescent="0.2">
      <c r="C35" s="83"/>
      <c r="D35" s="83"/>
      <c r="E35" s="83"/>
      <c r="F35" s="83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3"/>
    </row>
    <row r="36" spans="2:25" x14ac:dyDescent="0.2">
      <c r="B36" s="5" t="s">
        <v>85</v>
      </c>
      <c r="C36" s="83">
        <f>C34+C29</f>
        <v>5698842.87019148</v>
      </c>
      <c r="D36" s="83"/>
      <c r="E36" s="83"/>
      <c r="F36" s="83"/>
      <c r="G36" s="83"/>
      <c r="H36" s="83"/>
      <c r="I36" s="83"/>
      <c r="J36" s="83"/>
      <c r="K36" s="83"/>
      <c r="L36" s="83"/>
      <c r="M36" s="83"/>
      <c r="N36" s="83"/>
      <c r="O36" s="83"/>
      <c r="P36" s="83"/>
      <c r="Q36" s="83"/>
      <c r="R36" s="83"/>
      <c r="S36" s="83"/>
      <c r="T36" s="83"/>
      <c r="U36" s="83"/>
      <c r="V36" s="83"/>
      <c r="W36" s="83"/>
    </row>
    <row r="37" spans="2:25" x14ac:dyDescent="0.2">
      <c r="C37" s="83"/>
      <c r="D37" s="83"/>
      <c r="E37" s="83"/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</row>
    <row r="38" spans="2:25" x14ac:dyDescent="0.2">
      <c r="B38" s="177" t="s">
        <v>520</v>
      </c>
      <c r="C38" s="177"/>
      <c r="D38" s="177"/>
      <c r="E38" s="177"/>
      <c r="F38" s="177"/>
      <c r="G38" s="177"/>
      <c r="H38" s="177"/>
      <c r="I38" s="177"/>
      <c r="J38" s="177"/>
      <c r="K38" s="177"/>
      <c r="L38" s="177"/>
      <c r="M38" s="177"/>
      <c r="N38" s="177"/>
      <c r="O38" s="177"/>
      <c r="P38" s="177"/>
      <c r="Q38" s="177"/>
      <c r="R38" s="177"/>
      <c r="S38" s="177"/>
      <c r="T38" s="177"/>
      <c r="U38" s="177"/>
      <c r="V38" s="177"/>
      <c r="W38" s="177"/>
    </row>
    <row r="39" spans="2:25" x14ac:dyDescent="0.2">
      <c r="C39" t="s">
        <v>45</v>
      </c>
      <c r="D39" t="s">
        <v>46</v>
      </c>
    </row>
    <row r="40" spans="2:25" x14ac:dyDescent="0.2">
      <c r="C40" s="23" t="s">
        <v>47</v>
      </c>
      <c r="D40" s="5" t="s">
        <v>48</v>
      </c>
      <c r="E40" s="5" t="s">
        <v>49</v>
      </c>
      <c r="F40" s="5" t="s">
        <v>50</v>
      </c>
      <c r="G40" s="5" t="s">
        <v>51</v>
      </c>
      <c r="H40" s="5" t="s">
        <v>52</v>
      </c>
      <c r="I40" s="5" t="s">
        <v>53</v>
      </c>
      <c r="J40" s="5" t="s">
        <v>54</v>
      </c>
      <c r="K40" s="5" t="s">
        <v>55</v>
      </c>
      <c r="L40" s="5" t="s">
        <v>56</v>
      </c>
      <c r="M40" s="5" t="s">
        <v>57</v>
      </c>
      <c r="N40" s="5" t="s">
        <v>58</v>
      </c>
      <c r="O40" s="5" t="s">
        <v>59</v>
      </c>
      <c r="P40" s="5" t="s">
        <v>60</v>
      </c>
      <c r="Q40" s="5" t="s">
        <v>61</v>
      </c>
      <c r="R40" s="5" t="s">
        <v>62</v>
      </c>
      <c r="S40" s="5" t="s">
        <v>63</v>
      </c>
      <c r="T40" s="5" t="s">
        <v>64</v>
      </c>
      <c r="U40" s="5" t="s">
        <v>65</v>
      </c>
      <c r="V40" s="5" t="s">
        <v>66</v>
      </c>
      <c r="W40" s="5" t="s">
        <v>67</v>
      </c>
      <c r="X40" s="5" t="s">
        <v>526</v>
      </c>
      <c r="Y40" s="175" t="s">
        <v>527</v>
      </c>
    </row>
    <row r="41" spans="2:25" x14ac:dyDescent="0.2">
      <c r="B41" t="s">
        <v>68</v>
      </c>
      <c r="C41" s="165">
        <f>'Financial Statements &amp; Metrics'!$N$10</f>
        <v>1107416</v>
      </c>
      <c r="D41" s="99">
        <f>C41*(1+D$42)</f>
        <v>1146175.5599999998</v>
      </c>
      <c r="E41" s="99">
        <f t="shared" ref="E41:W41" si="13">D41*(1+E$42)</f>
        <v>1186291.7045999998</v>
      </c>
      <c r="F41" s="99">
        <f t="shared" si="13"/>
        <v>1227811.9142609998</v>
      </c>
      <c r="G41" s="99">
        <f t="shared" si="13"/>
        <v>1270785.3312601347</v>
      </c>
      <c r="H41" s="99">
        <f t="shared" si="13"/>
        <v>1302554.964541638</v>
      </c>
      <c r="I41" s="99">
        <f t="shared" si="13"/>
        <v>1335118.8386551789</v>
      </c>
      <c r="J41" s="99">
        <f t="shared" si="13"/>
        <v>1368496.8096215583</v>
      </c>
      <c r="K41" s="99">
        <f t="shared" si="13"/>
        <v>1402709.2298620972</v>
      </c>
      <c r="L41" s="99">
        <f t="shared" si="13"/>
        <v>1437776.9606086495</v>
      </c>
      <c r="M41" s="99">
        <f t="shared" si="13"/>
        <v>1473721.3846238656</v>
      </c>
      <c r="N41" s="99">
        <f t="shared" si="13"/>
        <v>1510564.4192394621</v>
      </c>
      <c r="O41" s="99">
        <f t="shared" si="13"/>
        <v>1548328.5297204484</v>
      </c>
      <c r="P41" s="99">
        <f t="shared" si="13"/>
        <v>1587036.7429634596</v>
      </c>
      <c r="Q41" s="99">
        <f t="shared" si="13"/>
        <v>1626712.661537546</v>
      </c>
      <c r="R41" s="99">
        <f t="shared" si="13"/>
        <v>1667380.4780759844</v>
      </c>
      <c r="S41" s="99">
        <f t="shared" si="13"/>
        <v>1709064.9900278838</v>
      </c>
      <c r="T41" s="99">
        <f t="shared" si="13"/>
        <v>1751791.6147785808</v>
      </c>
      <c r="U41" s="99">
        <f t="shared" si="13"/>
        <v>1795586.4051480452</v>
      </c>
      <c r="V41" s="99">
        <f t="shared" si="13"/>
        <v>1840476.0652767462</v>
      </c>
      <c r="W41" s="99">
        <f t="shared" si="13"/>
        <v>1886487.9669086647</v>
      </c>
    </row>
    <row r="42" spans="2:25" x14ac:dyDescent="0.2">
      <c r="B42" t="s">
        <v>69</v>
      </c>
      <c r="C42" s="72"/>
      <c r="D42" s="84">
        <f>'Assumptions &amp; Drivers'!C$37</f>
        <v>3.5000000000000003E-2</v>
      </c>
      <c r="E42" s="84">
        <f>'Assumptions &amp; Drivers'!D$37</f>
        <v>3.5000000000000003E-2</v>
      </c>
      <c r="F42" s="84">
        <f>'Assumptions &amp; Drivers'!E$37</f>
        <v>3.5000000000000003E-2</v>
      </c>
      <c r="G42" s="84">
        <f>'Assumptions &amp; Drivers'!F$37</f>
        <v>3.5000000000000003E-2</v>
      </c>
      <c r="H42" s="84">
        <f>'Assumptions &amp; Drivers'!G$37</f>
        <v>2.5000000000000001E-2</v>
      </c>
      <c r="I42" s="84">
        <f>'Assumptions &amp; Drivers'!H$37</f>
        <v>2.5000000000000001E-2</v>
      </c>
      <c r="J42" s="84">
        <f>'Assumptions &amp; Drivers'!I$37</f>
        <v>2.5000000000000001E-2</v>
      </c>
      <c r="K42" s="84">
        <f>'Assumptions &amp; Drivers'!J$37</f>
        <v>2.5000000000000001E-2</v>
      </c>
      <c r="L42" s="84">
        <f>'Assumptions &amp; Drivers'!K$37</f>
        <v>2.5000000000000001E-2</v>
      </c>
      <c r="M42" s="84">
        <f>'Assumptions &amp; Drivers'!L$37</f>
        <v>2.5000000000000001E-2</v>
      </c>
      <c r="N42" s="84">
        <f>'Assumptions &amp; Drivers'!M$37</f>
        <v>2.5000000000000001E-2</v>
      </c>
      <c r="O42" s="84">
        <f>'Assumptions &amp; Drivers'!N$37</f>
        <v>2.5000000000000001E-2</v>
      </c>
      <c r="P42" s="84">
        <f>'Assumptions &amp; Drivers'!O$37</f>
        <v>2.5000000000000001E-2</v>
      </c>
      <c r="Q42" s="84">
        <f>'Assumptions &amp; Drivers'!P$37</f>
        <v>2.5000000000000001E-2</v>
      </c>
      <c r="R42" s="84">
        <f>'Assumptions &amp; Drivers'!Q$37</f>
        <v>2.5000000000000001E-2</v>
      </c>
      <c r="S42" s="84">
        <f>'Assumptions &amp; Drivers'!R$37</f>
        <v>2.5000000000000001E-2</v>
      </c>
      <c r="T42" s="84">
        <f>'Assumptions &amp; Drivers'!S$37</f>
        <v>2.5000000000000001E-2</v>
      </c>
      <c r="U42" s="84">
        <f>'Assumptions &amp; Drivers'!T$37</f>
        <v>2.5000000000000001E-2</v>
      </c>
      <c r="V42" s="84">
        <f>'Assumptions &amp; Drivers'!U$37</f>
        <v>2.5000000000000001E-2</v>
      </c>
      <c r="W42" s="84">
        <f>'Assumptions &amp; Drivers'!V$37</f>
        <v>2.5000000000000001E-2</v>
      </c>
      <c r="X42" s="174">
        <f>((W41/D41)^(1/20))-1</f>
        <v>2.5227258966522337E-2</v>
      </c>
      <c r="Y42" s="14">
        <f>((1+X42)^4)-1</f>
        <v>0.10479214844259888</v>
      </c>
    </row>
    <row r="43" spans="2:25" x14ac:dyDescent="0.2">
      <c r="C43" s="72"/>
      <c r="T43" s="72"/>
    </row>
    <row r="44" spans="2:25" x14ac:dyDescent="0.2">
      <c r="B44" t="s">
        <v>70</v>
      </c>
      <c r="C44" s="101">
        <f>C41/'Financial Statements &amp; Metrics'!$N$4</f>
        <v>4412.0159362549803</v>
      </c>
      <c r="D44" s="101">
        <f>D41/'Assumptions &amp; Drivers'!C$39</f>
        <v>4512.5022047244083</v>
      </c>
      <c r="E44" s="101">
        <f>E41/'Assumptions &amp; Drivers'!D$39</f>
        <v>4598.0298627906968</v>
      </c>
      <c r="F44" s="101">
        <f>F41/'Assumptions &amp; Drivers'!E$39</f>
        <v>4633.2525066452818</v>
      </c>
      <c r="G44" s="101">
        <f>G41/'Assumptions &amp; Drivers'!F$39</f>
        <v>4604.2946784787491</v>
      </c>
      <c r="H44" s="101">
        <f>H41/'Assumptions &amp; Drivers'!G$39</f>
        <v>4668.6557868875916</v>
      </c>
      <c r="I44" s="101">
        <f>I41/'Assumptions &amp; Drivers'!H$39</f>
        <v>4717.7344122091126</v>
      </c>
      <c r="J44" s="101">
        <f>J41/'Assumptions &amp; Drivers'!I$39</f>
        <v>4718.9545159364079</v>
      </c>
      <c r="K44" s="101">
        <f>K41/'Assumptions &amp; Drivers'!J$39</f>
        <v>4660.1635543591265</v>
      </c>
      <c r="L44" s="101">
        <f>L41/'Assumptions &amp; Drivers'!K$39</f>
        <v>4729.5294756863468</v>
      </c>
      <c r="M44" s="101">
        <f>M41/'Assumptions &amp; Drivers'!L$39</f>
        <v>4784.8096903372261</v>
      </c>
      <c r="N44" s="101">
        <f>N41/'Assumptions &amp; Drivers'!M$39</f>
        <v>4795.4426007601969</v>
      </c>
      <c r="O44" s="101">
        <f>O41/'Assumptions &amp; Drivers'!N$39</f>
        <v>4749.474017547388</v>
      </c>
      <c r="P44" s="101">
        <f>P41/'Assumptions &amp; Drivers'!O$39</f>
        <v>4823.8198874269292</v>
      </c>
      <c r="Q44" s="101">
        <f>Q41/'Assumptions &amp; Drivers'!P$39</f>
        <v>4885.0230076202579</v>
      </c>
      <c r="R44" s="101">
        <f>R41/'Assumptions &amp; Drivers'!Q$39</f>
        <v>4904.0602296352481</v>
      </c>
      <c r="S44" s="101">
        <f>S41/'Assumptions &amp; Drivers'!R$39</f>
        <v>4869.1310257204668</v>
      </c>
      <c r="T44" s="101">
        <f>T41/'Assumptions &amp; Drivers'!S$39</f>
        <v>4948.5638835553127</v>
      </c>
      <c r="U44" s="101">
        <f>U41/'Assumptions &amp; Drivers'!T$39</f>
        <v>5015.6044836537576</v>
      </c>
      <c r="V44" s="101">
        <f>V41/'Assumptions &amp; Drivers'!U$39</f>
        <v>5042.4001788404003</v>
      </c>
      <c r="W44" s="101">
        <f>W41/'Assumptions &amp; Drivers'!V$39</f>
        <v>5017.2552311400659</v>
      </c>
    </row>
    <row r="45" spans="2:25" x14ac:dyDescent="0.2">
      <c r="B45" t="s">
        <v>71</v>
      </c>
      <c r="C45" s="72"/>
      <c r="D45" s="73">
        <f>(D44/C44-1)</f>
        <v>2.2775590551180835E-2</v>
      </c>
      <c r="E45" s="73">
        <f t="shared" ref="E45" si="14">(E44/D44-1)</f>
        <v>1.8953488372092986E-2</v>
      </c>
      <c r="F45" s="73">
        <f t="shared" ref="F45" si="15">(F44/E44-1)</f>
        <v>7.6603773584904555E-3</v>
      </c>
      <c r="G45" s="73">
        <f t="shared" ref="G45" si="16">(G44/F44-1)</f>
        <v>-6.2499999999998668E-3</v>
      </c>
      <c r="H45" s="73">
        <f t="shared" ref="H45" si="17">(H44/G44-1)</f>
        <v>1.3978494623655857E-2</v>
      </c>
      <c r="I45" s="73">
        <f t="shared" ref="I45" si="18">(I44/H44-1)</f>
        <v>1.0512367491166019E-2</v>
      </c>
      <c r="J45" s="73">
        <f t="shared" ref="J45" si="19">(J44/I44-1)</f>
        <v>2.5862068965509799E-4</v>
      </c>
      <c r="K45" s="73">
        <f t="shared" ref="K45" si="20">(K44/J44-1)</f>
        <v>-1.2458471760797507E-2</v>
      </c>
      <c r="L45" s="73">
        <f t="shared" ref="L45" si="21">(L44/K44-1)</f>
        <v>1.4884868421052522E-2</v>
      </c>
      <c r="M45" s="73">
        <f t="shared" ref="M45" si="22">(M44/L44-1)</f>
        <v>1.1688311688311748E-2</v>
      </c>
      <c r="N45" s="73">
        <f t="shared" ref="N45" si="23">(N44/M44-1)</f>
        <v>2.2222222222221255E-3</v>
      </c>
      <c r="O45" s="73">
        <f t="shared" ref="O45" si="24">(O44/N44-1)</f>
        <v>-9.5858895705521752E-3</v>
      </c>
      <c r="P45" s="73">
        <f t="shared" ref="P45" si="25">(P44/O44-1)</f>
        <v>1.565349544072947E-2</v>
      </c>
      <c r="Q45" s="73">
        <f t="shared" ref="Q45" si="26">(Q44/P44-1)</f>
        <v>1.2687687687687577E-2</v>
      </c>
      <c r="R45" s="73">
        <f t="shared" ref="R45" si="27">(R44/Q44-1)</f>
        <v>3.8970588235294201E-3</v>
      </c>
      <c r="S45" s="73">
        <f t="shared" ref="S45" si="28">(S44/R44-1)</f>
        <v>-7.1225071225071712E-3</v>
      </c>
      <c r="T45" s="73">
        <f t="shared" ref="T45" si="29">(T44/S44-1)</f>
        <v>1.6313559322033822E-2</v>
      </c>
      <c r="U45" s="73">
        <f t="shared" ref="U45" si="30">(U44/T44-1)</f>
        <v>1.3547486033519629E-2</v>
      </c>
      <c r="V45" s="73">
        <f t="shared" ref="V45" si="31">(V44/U44-1)</f>
        <v>5.3424657534244524E-3</v>
      </c>
      <c r="W45" s="73">
        <f t="shared" ref="W45" si="32">(W44/V44-1)</f>
        <v>-4.9867021276595036E-3</v>
      </c>
    </row>
    <row r="46" spans="2:25" x14ac:dyDescent="0.2">
      <c r="C46" s="23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23"/>
      <c r="U46" s="5"/>
      <c r="V46" s="5"/>
      <c r="W46" s="5"/>
    </row>
    <row r="47" spans="2:25" x14ac:dyDescent="0.2">
      <c r="B47" s="5" t="s">
        <v>72</v>
      </c>
    </row>
    <row r="48" spans="2:25" x14ac:dyDescent="0.2">
      <c r="B48" t="s">
        <v>73</v>
      </c>
      <c r="C48" s="166">
        <f t="shared" ref="C48:W48" si="33">C41</f>
        <v>1107416</v>
      </c>
      <c r="D48" s="100">
        <f t="shared" si="33"/>
        <v>1146175.5599999998</v>
      </c>
      <c r="E48" s="100">
        <f t="shared" si="33"/>
        <v>1186291.7045999998</v>
      </c>
      <c r="F48" s="100">
        <f t="shared" si="33"/>
        <v>1227811.9142609998</v>
      </c>
      <c r="G48" s="100">
        <f t="shared" si="33"/>
        <v>1270785.3312601347</v>
      </c>
      <c r="H48" s="100">
        <f t="shared" si="33"/>
        <v>1302554.964541638</v>
      </c>
      <c r="I48" s="100">
        <f t="shared" si="33"/>
        <v>1335118.8386551789</v>
      </c>
      <c r="J48" s="100">
        <f t="shared" si="33"/>
        <v>1368496.8096215583</v>
      </c>
      <c r="K48" s="100">
        <f t="shared" si="33"/>
        <v>1402709.2298620972</v>
      </c>
      <c r="L48" s="100">
        <f t="shared" si="33"/>
        <v>1437776.9606086495</v>
      </c>
      <c r="M48" s="100">
        <f t="shared" si="33"/>
        <v>1473721.3846238656</v>
      </c>
      <c r="N48" s="100">
        <f t="shared" si="33"/>
        <v>1510564.4192394621</v>
      </c>
      <c r="O48" s="100">
        <f t="shared" si="33"/>
        <v>1548328.5297204484</v>
      </c>
      <c r="P48" s="100">
        <f t="shared" si="33"/>
        <v>1587036.7429634596</v>
      </c>
      <c r="Q48" s="100">
        <f t="shared" si="33"/>
        <v>1626712.661537546</v>
      </c>
      <c r="R48" s="100">
        <f t="shared" si="33"/>
        <v>1667380.4780759844</v>
      </c>
      <c r="S48" s="100">
        <f t="shared" si="33"/>
        <v>1709064.9900278838</v>
      </c>
      <c r="T48" s="100">
        <f t="shared" si="33"/>
        <v>1751791.6147785808</v>
      </c>
      <c r="U48" s="100">
        <f t="shared" si="33"/>
        <v>1795586.4051480452</v>
      </c>
      <c r="V48" s="100">
        <f t="shared" si="33"/>
        <v>1840476.0652767462</v>
      </c>
      <c r="W48" s="100">
        <f t="shared" si="33"/>
        <v>1886487.9669086647</v>
      </c>
    </row>
    <row r="49" spans="2:23" x14ac:dyDescent="0.2">
      <c r="B49" t="s">
        <v>69</v>
      </c>
      <c r="C49" s="72"/>
      <c r="D49" s="84">
        <f t="shared" ref="D49:W49" si="34">D42</f>
        <v>3.5000000000000003E-2</v>
      </c>
      <c r="E49" s="84">
        <f t="shared" si="34"/>
        <v>3.5000000000000003E-2</v>
      </c>
      <c r="F49" s="84">
        <f t="shared" si="34"/>
        <v>3.5000000000000003E-2</v>
      </c>
      <c r="G49" s="84">
        <f t="shared" si="34"/>
        <v>3.5000000000000003E-2</v>
      </c>
      <c r="H49" s="84">
        <f t="shared" si="34"/>
        <v>2.5000000000000001E-2</v>
      </c>
      <c r="I49" s="84">
        <f t="shared" si="34"/>
        <v>2.5000000000000001E-2</v>
      </c>
      <c r="J49" s="84">
        <f t="shared" si="34"/>
        <v>2.5000000000000001E-2</v>
      </c>
      <c r="K49" s="84">
        <f t="shared" si="34"/>
        <v>2.5000000000000001E-2</v>
      </c>
      <c r="L49" s="84">
        <f t="shared" si="34"/>
        <v>2.5000000000000001E-2</v>
      </c>
      <c r="M49" s="84">
        <f t="shared" si="34"/>
        <v>2.5000000000000001E-2</v>
      </c>
      <c r="N49" s="84">
        <f t="shared" si="34"/>
        <v>2.5000000000000001E-2</v>
      </c>
      <c r="O49" s="84">
        <f t="shared" si="34"/>
        <v>2.5000000000000001E-2</v>
      </c>
      <c r="P49" s="84">
        <f t="shared" si="34"/>
        <v>2.5000000000000001E-2</v>
      </c>
      <c r="Q49" s="84">
        <f t="shared" si="34"/>
        <v>2.5000000000000001E-2</v>
      </c>
      <c r="R49" s="84">
        <f t="shared" si="34"/>
        <v>2.5000000000000001E-2</v>
      </c>
      <c r="S49" s="84">
        <f t="shared" si="34"/>
        <v>2.5000000000000001E-2</v>
      </c>
      <c r="T49" s="84">
        <f t="shared" si="34"/>
        <v>2.5000000000000001E-2</v>
      </c>
      <c r="U49" s="84">
        <f t="shared" si="34"/>
        <v>2.5000000000000001E-2</v>
      </c>
      <c r="V49" s="84">
        <f t="shared" si="34"/>
        <v>2.5000000000000001E-2</v>
      </c>
      <c r="W49" s="84">
        <f t="shared" si="34"/>
        <v>2.5000000000000001E-2</v>
      </c>
    </row>
    <row r="50" spans="2:23" x14ac:dyDescent="0.2">
      <c r="B50" t="s">
        <v>74</v>
      </c>
      <c r="C50" s="105">
        <f>C48*'Financial Statements &amp; Metrics'!$N$104</f>
        <v>626095</v>
      </c>
      <c r="D50" s="105">
        <f>D48*'Assumptions &amp; Drivers'!C$41</f>
        <v>648008.32499999995</v>
      </c>
      <c r="E50" s="105">
        <f>E48*'Assumptions &amp; Drivers'!D$41</f>
        <v>667722.88711349992</v>
      </c>
      <c r="F50" s="105">
        <f>F48*'Assumptions &amp; Drivers'!E$41</f>
        <v>688023.65837682004</v>
      </c>
      <c r="G50" s="105">
        <f>G48*'Assumptions &amp; Drivers'!F$41</f>
        <v>708927.52309185837</v>
      </c>
      <c r="H50" s="105">
        <f>H48*'Assumptions &amp; Drivers'!G$41</f>
        <v>723394.32375780086</v>
      </c>
      <c r="I50" s="105">
        <f>I48*'Assumptions &amp; Drivers'!H$41</f>
        <v>738141.38475510792</v>
      </c>
      <c r="J50" s="105">
        <f>J48*'Assumptions &amp; Drivers'!I$41</f>
        <v>753173.67734993179</v>
      </c>
      <c r="K50" s="105">
        <f>K48*'Assumptions &amp; Drivers'!J$41</f>
        <v>768496.2462090248</v>
      </c>
      <c r="L50" s="105">
        <f>L48*'Assumptions &amp; Drivers'!K$41</f>
        <v>784114.2099627289</v>
      </c>
      <c r="M50" s="105">
        <f>M48*'Assumptions &amp; Drivers'!L$41</f>
        <v>800032.76175023743</v>
      </c>
      <c r="N50" s="105">
        <f>N48*'Assumptions &amp; Drivers'!M$41</f>
        <v>816257.16974589473</v>
      </c>
      <c r="O50" s="105">
        <f>O48*'Assumptions &amp; Drivers'!N$41</f>
        <v>832792.77766524092</v>
      </c>
      <c r="P50" s="105">
        <f>P48*'Assumptions &amp; Drivers'!O$41</f>
        <v>849645.00524946337</v>
      </c>
      <c r="Q50" s="105">
        <f>Q48*'Assumptions &amp; Drivers'!P$41</f>
        <v>866819.34872685606</v>
      </c>
      <c r="R50" s="105">
        <f>R48*'Assumptions &amp; Drivers'!Q$41</f>
        <v>884321.38124983746</v>
      </c>
      <c r="S50" s="105">
        <f>S48*'Assumptions &amp; Drivers'!R$41</f>
        <v>902156.75330601365</v>
      </c>
      <c r="T50" s="105">
        <f>T48*'Assumptions &amp; Drivers'!S$41</f>
        <v>920331.19310171762</v>
      </c>
      <c r="U50" s="105">
        <f>U48*'Assumptions &amp; Drivers'!T$41</f>
        <v>938850.5069163905</v>
      </c>
      <c r="V50" s="105">
        <f>V48*'Assumptions &amp; Drivers'!U$41</f>
        <v>957720.57942610839</v>
      </c>
      <c r="W50" s="105">
        <f>W48*'Assumptions &amp; Drivers'!V$41</f>
        <v>976947.37399448943</v>
      </c>
    </row>
    <row r="51" spans="2:23" x14ac:dyDescent="0.2">
      <c r="B51" t="s">
        <v>75</v>
      </c>
      <c r="C51" s="105">
        <f>C48-C50</f>
        <v>481321</v>
      </c>
      <c r="D51" s="105">
        <f t="shared" ref="D51:W51" si="35">D48-D50</f>
        <v>498167.23499999987</v>
      </c>
      <c r="E51" s="105">
        <f t="shared" si="35"/>
        <v>518568.8174864999</v>
      </c>
      <c r="F51" s="105">
        <f t="shared" si="35"/>
        <v>539788.25588417973</v>
      </c>
      <c r="G51" s="105">
        <f t="shared" si="35"/>
        <v>561857.80816827633</v>
      </c>
      <c r="H51" s="105">
        <f t="shared" si="35"/>
        <v>579160.64078383718</v>
      </c>
      <c r="I51" s="105">
        <f t="shared" si="35"/>
        <v>596977.45390007098</v>
      </c>
      <c r="J51" s="105">
        <f t="shared" si="35"/>
        <v>615323.1322716265</v>
      </c>
      <c r="K51" s="105">
        <f t="shared" si="35"/>
        <v>634212.98365307238</v>
      </c>
      <c r="L51" s="105">
        <f t="shared" si="35"/>
        <v>653662.75064592063</v>
      </c>
      <c r="M51" s="105">
        <f t="shared" si="35"/>
        <v>673688.62287362816</v>
      </c>
      <c r="N51" s="105">
        <f t="shared" si="35"/>
        <v>694307.24949356739</v>
      </c>
      <c r="O51" s="105">
        <f t="shared" si="35"/>
        <v>715535.7520552075</v>
      </c>
      <c r="P51" s="105">
        <f t="shared" si="35"/>
        <v>737391.7377139962</v>
      </c>
      <c r="Q51" s="105">
        <f t="shared" si="35"/>
        <v>759893.31281068991</v>
      </c>
      <c r="R51" s="105">
        <f t="shared" si="35"/>
        <v>783059.09682614694</v>
      </c>
      <c r="S51" s="105">
        <f t="shared" si="35"/>
        <v>806908.23672187014</v>
      </c>
      <c r="T51" s="105">
        <f t="shared" si="35"/>
        <v>831460.42167686322</v>
      </c>
      <c r="U51" s="105">
        <f t="shared" si="35"/>
        <v>856735.89823165466</v>
      </c>
      <c r="V51" s="105">
        <f t="shared" si="35"/>
        <v>882755.48585063778</v>
      </c>
      <c r="W51" s="105">
        <f t="shared" si="35"/>
        <v>909540.59291417524</v>
      </c>
    </row>
    <row r="52" spans="2:23" x14ac:dyDescent="0.2">
      <c r="B52" t="s">
        <v>76</v>
      </c>
      <c r="C52" s="105">
        <f>C48*'Financial Statements &amp; Metrics'!$N$106</f>
        <v>422101</v>
      </c>
      <c r="D52" s="105">
        <f>D48*'Assumptions &amp; Drivers'!C$42</f>
        <v>436874.53499999992</v>
      </c>
      <c r="E52" s="105">
        <f>E48*'Assumptions &amp; Drivers'!D$42</f>
        <v>449931.00561043882</v>
      </c>
      <c r="F52" s="105">
        <f>F48*'Assumptions &amp; Drivers'!E$42</f>
        <v>463366.25785823335</v>
      </c>
      <c r="G52" s="105">
        <f>G48*'Assumptions &amp; Drivers'!F$42</f>
        <v>477190.81228150078</v>
      </c>
      <c r="H52" s="105">
        <f>H48*'Assumptions &amp; Drivers'!G$42</f>
        <v>486667.48637172329</v>
      </c>
      <c r="I52" s="105">
        <f>I48*'Assumptions &amp; Drivers'!H$42</f>
        <v>496319.74990878097</v>
      </c>
      <c r="J52" s="105">
        <f>J48*'Assumptions &amp; Drivers'!I$42</f>
        <v>506150.45944370917</v>
      </c>
      <c r="K52" s="105">
        <f>K48*'Assumptions &amp; Drivers'!J$42</f>
        <v>516162.50461169082</v>
      </c>
      <c r="L52" s="105">
        <f>L48*'Assumptions &amp; Drivers'!K$42</f>
        <v>526358.80800091929</v>
      </c>
      <c r="M52" s="105">
        <f>M48*'Assumptions &amp; Drivers'!L$42</f>
        <v>536742.3249942268</v>
      </c>
      <c r="N52" s="105">
        <f>N48*'Assumptions &amp; Drivers'!M$42</f>
        <v>547316.04358219914</v>
      </c>
      <c r="O52" s="105">
        <f>O48*'Assumptions &amp; Drivers'!N$42</f>
        <v>558082.98414644855</v>
      </c>
      <c r="P52" s="105">
        <f>P48*'Assumptions &amp; Drivers'!O$42</f>
        <v>569046.19921167172</v>
      </c>
      <c r="Q52" s="105">
        <f>Q48*'Assumptions &amp; Drivers'!P$42</f>
        <v>580208.77316506451</v>
      </c>
      <c r="R52" s="105">
        <f>R48*'Assumptions &amp; Drivers'!Q$42</f>
        <v>591573.82194161962</v>
      </c>
      <c r="S52" s="105">
        <f>S48*'Assumptions &amp; Drivers'!R$42</f>
        <v>603144.49267377437</v>
      </c>
      <c r="T52" s="105">
        <f>T48*'Assumptions &amp; Drivers'!S$42</f>
        <v>614923.96330382326</v>
      </c>
      <c r="U52" s="105">
        <f>U48*'Assumptions &amp; Drivers'!T$42</f>
        <v>626915.44215745351</v>
      </c>
      <c r="V52" s="105">
        <f>V48*'Assumptions &amp; Drivers'!U$42</f>
        <v>639122.1674767005</v>
      </c>
      <c r="W52" s="105">
        <f>W48*'Assumptions &amp; Drivers'!V$42</f>
        <v>651547.40691056033</v>
      </c>
    </row>
    <row r="53" spans="2:23" x14ac:dyDescent="0.2">
      <c r="B53" t="s">
        <v>77</v>
      </c>
      <c r="C53" s="105">
        <f>C51-C52</f>
        <v>59220</v>
      </c>
      <c r="D53" s="105">
        <f t="shared" ref="D53:W53" si="36">D51-D52</f>
        <v>61292.699999999953</v>
      </c>
      <c r="E53" s="105">
        <f t="shared" si="36"/>
        <v>68637.811876061081</v>
      </c>
      <c r="F53" s="105">
        <f t="shared" si="36"/>
        <v>76421.998025946377</v>
      </c>
      <c r="G53" s="105">
        <f t="shared" si="36"/>
        <v>84666.995886775549</v>
      </c>
      <c r="H53" s="105">
        <f t="shared" si="36"/>
        <v>92493.154412113887</v>
      </c>
      <c r="I53" s="105">
        <f t="shared" si="36"/>
        <v>100657.70399129001</v>
      </c>
      <c r="J53" s="105">
        <f t="shared" si="36"/>
        <v>109172.67282791733</v>
      </c>
      <c r="K53" s="105">
        <f t="shared" si="36"/>
        <v>118050.47904138156</v>
      </c>
      <c r="L53" s="105">
        <f t="shared" si="36"/>
        <v>127303.94264500134</v>
      </c>
      <c r="M53" s="105">
        <f t="shared" si="36"/>
        <v>136946.29787940136</v>
      </c>
      <c r="N53" s="105">
        <f t="shared" si="36"/>
        <v>146991.20591136825</v>
      </c>
      <c r="O53" s="105">
        <f t="shared" si="36"/>
        <v>157452.76790875895</v>
      </c>
      <c r="P53" s="105">
        <f t="shared" si="36"/>
        <v>168345.53850232449</v>
      </c>
      <c r="Q53" s="105">
        <f t="shared" si="36"/>
        <v>179684.53964562539</v>
      </c>
      <c r="R53" s="105">
        <f t="shared" si="36"/>
        <v>191485.27488452732</v>
      </c>
      <c r="S53" s="105">
        <f t="shared" si="36"/>
        <v>203763.74404809577</v>
      </c>
      <c r="T53" s="105">
        <f t="shared" si="36"/>
        <v>216536.45837303996</v>
      </c>
      <c r="U53" s="105">
        <f t="shared" si="36"/>
        <v>229820.45607420115</v>
      </c>
      <c r="V53" s="105">
        <f t="shared" si="36"/>
        <v>243633.31837393728</v>
      </c>
      <c r="W53" s="105">
        <f t="shared" si="36"/>
        <v>257993.18600361492</v>
      </c>
    </row>
    <row r="54" spans="2:23" x14ac:dyDescent="0.2">
      <c r="B54" t="s">
        <v>13</v>
      </c>
      <c r="C54" s="102">
        <f>'Financial Statements &amp; Metrics'!$N$113</f>
        <v>0.19863637897863434</v>
      </c>
      <c r="D54" s="102">
        <f>'Assumptions &amp; Drivers'!C$44</f>
        <v>0.215</v>
      </c>
      <c r="E54" s="102">
        <f>'Assumptions &amp; Drivers'!D$44</f>
        <v>0.215</v>
      </c>
      <c r="F54" s="102">
        <f>'Assumptions &amp; Drivers'!E$44</f>
        <v>0.215</v>
      </c>
      <c r="G54" s="102">
        <f>'Assumptions &amp; Drivers'!F$44</f>
        <v>0.215</v>
      </c>
      <c r="H54" s="86">
        <f>'Assumptions &amp; Drivers'!G$44</f>
        <v>0.20644366131306424</v>
      </c>
      <c r="I54" s="86">
        <f>'Assumptions &amp; Drivers'!H$44</f>
        <v>0.20644366131306424</v>
      </c>
      <c r="J54" s="86">
        <f>'Assumptions &amp; Drivers'!I$44</f>
        <v>0.20644366131306424</v>
      </c>
      <c r="K54" s="86">
        <f>'Assumptions &amp; Drivers'!J$44</f>
        <v>0.20644366131306424</v>
      </c>
      <c r="L54" s="86">
        <f>'Assumptions &amp; Drivers'!K$44</f>
        <v>0.20644366131306424</v>
      </c>
      <c r="M54" s="86">
        <f>'Assumptions &amp; Drivers'!L$44</f>
        <v>0.20644366131306424</v>
      </c>
      <c r="N54" s="86">
        <f>'Assumptions &amp; Drivers'!M$44</f>
        <v>0.20644366131306424</v>
      </c>
      <c r="O54" s="86">
        <f>'Assumptions &amp; Drivers'!N$44</f>
        <v>0.20644366131306424</v>
      </c>
      <c r="P54" s="86">
        <f>'Assumptions &amp; Drivers'!O$44</f>
        <v>0.20644366131306424</v>
      </c>
      <c r="Q54" s="86">
        <f>'Assumptions &amp; Drivers'!P$44</f>
        <v>0.20644366131306424</v>
      </c>
      <c r="R54" s="86">
        <f>'Assumptions &amp; Drivers'!Q$44</f>
        <v>0.20644366131306424</v>
      </c>
      <c r="S54" s="86">
        <f>'Assumptions &amp; Drivers'!R$44</f>
        <v>0.20644366131306424</v>
      </c>
      <c r="T54" s="86">
        <f>'Assumptions &amp; Drivers'!S$44</f>
        <v>0.20644366131306424</v>
      </c>
      <c r="U54" s="86">
        <f>'Assumptions &amp; Drivers'!T$44</f>
        <v>0.20644366131306424</v>
      </c>
      <c r="V54" s="86">
        <f>'Assumptions &amp; Drivers'!U$44</f>
        <v>0.20644366131306424</v>
      </c>
      <c r="W54" s="86">
        <f>'Assumptions &amp; Drivers'!V$44</f>
        <v>0.20644366131306424</v>
      </c>
    </row>
    <row r="55" spans="2:23" x14ac:dyDescent="0.2">
      <c r="B55" t="s">
        <v>78</v>
      </c>
      <c r="C55" s="105">
        <f>C53*(1-C54)</f>
        <v>47456.753636885274</v>
      </c>
      <c r="D55" s="105">
        <f t="shared" ref="D55:W55" si="37">D53*(1-D54)</f>
        <v>48114.769499999966</v>
      </c>
      <c r="E55" s="105">
        <f t="shared" si="37"/>
        <v>53880.682322707951</v>
      </c>
      <c r="F55" s="105">
        <f t="shared" si="37"/>
        <v>59991.268450367912</v>
      </c>
      <c r="G55" s="105">
        <f t="shared" si="37"/>
        <v>66463.591771118809</v>
      </c>
      <c r="H55" s="105">
        <f t="shared" si="37"/>
        <v>73398.5289688825</v>
      </c>
      <c r="I55" s="105">
        <f t="shared" si="37"/>
        <v>79877.559039961459</v>
      </c>
      <c r="J55" s="105">
        <f t="shared" si="37"/>
        <v>86634.666533988784</v>
      </c>
      <c r="K55" s="105">
        <f t="shared" si="37"/>
        <v>93679.705928317606</v>
      </c>
      <c r="L55" s="105">
        <f t="shared" si="37"/>
        <v>101022.85062577893</v>
      </c>
      <c r="M55" s="105">
        <f t="shared" si="37"/>
        <v>108674.60274190822</v>
      </c>
      <c r="N55" s="105">
        <f t="shared" si="37"/>
        <v>116645.80318220286</v>
      </c>
      <c r="O55" s="105">
        <f t="shared" si="37"/>
        <v>124947.6420177986</v>
      </c>
      <c r="P55" s="105">
        <f t="shared" si="37"/>
        <v>133591.66916818521</v>
      </c>
      <c r="Q55" s="105">
        <f t="shared" si="37"/>
        <v>142589.80539983005</v>
      </c>
      <c r="R55" s="105">
        <f t="shared" si="37"/>
        <v>151954.35364982695</v>
      </c>
      <c r="S55" s="105">
        <f t="shared" si="37"/>
        <v>161698.01068394879</v>
      </c>
      <c r="T55" s="105">
        <f t="shared" si="37"/>
        <v>171833.87909874567</v>
      </c>
      <c r="U55" s="105">
        <f t="shared" si="37"/>
        <v>182375.4796776048</v>
      </c>
      <c r="V55" s="105">
        <f t="shared" si="37"/>
        <v>193336.76411097022</v>
      </c>
      <c r="W55" s="105">
        <f t="shared" si="37"/>
        <v>204732.12809120625</v>
      </c>
    </row>
    <row r="56" spans="2:23" x14ac:dyDescent="0.2">
      <c r="C56" s="105"/>
      <c r="D56" s="105"/>
      <c r="E56" s="105"/>
      <c r="F56" s="105"/>
      <c r="G56" s="105"/>
      <c r="H56" s="105"/>
      <c r="I56" s="105"/>
      <c r="J56" s="105"/>
      <c r="K56" s="105"/>
      <c r="L56" s="105"/>
      <c r="M56" s="105"/>
      <c r="N56" s="105"/>
      <c r="O56" s="105"/>
      <c r="P56" s="105"/>
      <c r="Q56" s="105"/>
      <c r="R56" s="105"/>
      <c r="S56" s="105"/>
      <c r="T56" s="105"/>
      <c r="U56" s="105"/>
      <c r="V56" s="105"/>
      <c r="W56" s="105"/>
    </row>
    <row r="57" spans="2:23" x14ac:dyDescent="0.2">
      <c r="B57" t="s">
        <v>15</v>
      </c>
      <c r="C57" s="105">
        <f>C48*'Financial Statements &amp; Metrics'!$N$100</f>
        <v>59783</v>
      </c>
      <c r="D57" s="105">
        <f>D48*'Assumptions &amp; Drivers'!C$43</f>
        <v>57308.777999999991</v>
      </c>
      <c r="E57" s="105">
        <f>E48*'Assumptions &amp; Drivers'!D$43</f>
        <v>59314.585229999997</v>
      </c>
      <c r="F57" s="105">
        <f>F48*'Assumptions &amp; Drivers'!E$43</f>
        <v>61390.595713049988</v>
      </c>
      <c r="G57" s="105">
        <f>G48*'Assumptions &amp; Drivers'!F$43</f>
        <v>63539.266563006735</v>
      </c>
      <c r="H57" s="105">
        <f>H48*'Assumptions &amp; Drivers'!G$43</f>
        <v>65127.748227081902</v>
      </c>
      <c r="I57" s="105">
        <f>I48*'Assumptions &amp; Drivers'!H$43</f>
        <v>66755.941932758942</v>
      </c>
      <c r="J57" s="105">
        <f>J48*'Assumptions &amp; Drivers'!I$43</f>
        <v>68424.840481077918</v>
      </c>
      <c r="K57" s="105">
        <f>K48*'Assumptions &amp; Drivers'!J$43</f>
        <v>70135.461493104856</v>
      </c>
      <c r="L57" s="105">
        <f>L48*'Assumptions &amp; Drivers'!K$43</f>
        <v>71888.848030432477</v>
      </c>
      <c r="M57" s="105">
        <f>M48*'Assumptions &amp; Drivers'!L$43</f>
        <v>73686.06923119328</v>
      </c>
      <c r="N57" s="105">
        <f>N48*'Assumptions &amp; Drivers'!M$43</f>
        <v>75528.220961973115</v>
      </c>
      <c r="O57" s="105">
        <f>O48*'Assumptions &amp; Drivers'!N$43</f>
        <v>77416.426486022421</v>
      </c>
      <c r="P57" s="105">
        <f>P48*'Assumptions &amp; Drivers'!O$43</f>
        <v>79351.837148172985</v>
      </c>
      <c r="Q57" s="105">
        <f>Q48*'Assumptions &amp; Drivers'!P$43</f>
        <v>81335.633076877304</v>
      </c>
      <c r="R57" s="105">
        <f>R48*'Assumptions &amp; Drivers'!Q$43</f>
        <v>83369.023903799229</v>
      </c>
      <c r="S57" s="105">
        <f>S48*'Assumptions &amp; Drivers'!R$43</f>
        <v>85453.249501394195</v>
      </c>
      <c r="T57" s="105">
        <f>T48*'Assumptions &amp; Drivers'!S$43</f>
        <v>87589.580738929042</v>
      </c>
      <c r="U57" s="105">
        <f>U48*'Assumptions &amp; Drivers'!T$43</f>
        <v>89779.320257402258</v>
      </c>
      <c r="V57" s="105">
        <f>V48*'Assumptions &amp; Drivers'!U$43</f>
        <v>92023.803263837312</v>
      </c>
      <c r="W57" s="105">
        <f>W48*'Assumptions &amp; Drivers'!V$43</f>
        <v>94324.398345433234</v>
      </c>
    </row>
    <row r="58" spans="2:23" x14ac:dyDescent="0.2">
      <c r="B58" t="s">
        <v>34</v>
      </c>
      <c r="C58" s="105">
        <f>'Financial Statements &amp; Metrics'!$N$71</f>
        <v>27032</v>
      </c>
      <c r="D58" s="105">
        <f>'Assumptions &amp; Drivers'!C$48</f>
        <v>-12090.878380000002</v>
      </c>
      <c r="E58" s="105">
        <f>'Assumptions &amp; Drivers'!D$48</f>
        <v>276.6048314000036</v>
      </c>
      <c r="F58" s="105">
        <f>'Assumptions &amp; Drivers'!E$48</f>
        <v>569.80595268400066</v>
      </c>
      <c r="G58" s="105">
        <f>'Assumptions &amp; Drivers'!F$48</f>
        <v>2135.8324364574837</v>
      </c>
      <c r="H58" s="105">
        <f>'Assumptions &amp; Drivers'!G$48</f>
        <v>317.83364840541617</v>
      </c>
      <c r="I58" s="105">
        <f>'Assumptions &amp; Drivers'!H$48</f>
        <v>-6.3566729681078868</v>
      </c>
      <c r="J58" s="105">
        <f>'Assumptions &amp; Drivers'!I$48</f>
        <v>311.22270851858411</v>
      </c>
      <c r="K58" s="105">
        <f>'Assumptions &amp; Drivers'!J$48</f>
        <v>1997.2717319179937</v>
      </c>
      <c r="L58" s="105">
        <f>'Assumptions &amp; Drivers'!K$48</f>
        <v>258.86824094901385</v>
      </c>
      <c r="M58" s="105">
        <f>'Assumptions &amp; Drivers'!L$48</f>
        <v>-91.803363396480563</v>
      </c>
      <c r="N58" s="105">
        <f>'Assumptions &amp; Drivers'!M$48</f>
        <v>249.67511930088222</v>
      </c>
      <c r="O58" s="105">
        <f>'Assumptions &amp; Drivers'!N$48</f>
        <v>2055.4504196444977</v>
      </c>
      <c r="P58" s="105">
        <f>'Assumptions &amp; Drivers'!O$48</f>
        <v>3.6152477130235638</v>
      </c>
      <c r="Q58" s="105">
        <f>'Assumptions &amp; Drivers'!P$48</f>
        <v>-368.79141920625989</v>
      </c>
      <c r="R58" s="105">
        <f>'Assumptions &amp; Drivers'!Q$48</f>
        <v>-7.3758283841234515</v>
      </c>
      <c r="S58" s="105">
        <f>'Assumptions &amp; Drivers'!R$48</f>
        <v>1869.846253659598</v>
      </c>
      <c r="T58" s="105">
        <f>'Assumptions &amp; Drivers'!S$48</f>
        <v>-91.229500732581073</v>
      </c>
      <c r="U58" s="105">
        <f>'Assumptions &amp; Drivers'!T$48</f>
        <v>-476.6247645361218</v>
      </c>
      <c r="V58" s="105">
        <f>'Assumptions &amp; Drivers'!U$48</f>
        <v>-101.19511278058781</v>
      </c>
      <c r="W58" s="105">
        <f>'Assumptions &amp; Drivers'!V$48</f>
        <v>1833.2497084622446</v>
      </c>
    </row>
    <row r="59" spans="2:23" x14ac:dyDescent="0.2">
      <c r="B59" t="s">
        <v>17</v>
      </c>
      <c r="C59" s="167">
        <v>90000</v>
      </c>
      <c r="D59" s="105">
        <v>90000</v>
      </c>
      <c r="E59" s="105">
        <v>90000</v>
      </c>
      <c r="F59" s="105">
        <v>90000</v>
      </c>
      <c r="G59" s="105">
        <v>90000</v>
      </c>
      <c r="H59" s="105">
        <v>90000</v>
      </c>
      <c r="I59" s="105">
        <v>90000</v>
      </c>
      <c r="J59" s="105">
        <v>90000</v>
      </c>
      <c r="K59" s="105">
        <v>90000</v>
      </c>
      <c r="L59" s="105">
        <v>90000</v>
      </c>
      <c r="M59" s="105">
        <v>90000</v>
      </c>
      <c r="N59" s="105">
        <v>90000</v>
      </c>
      <c r="O59" s="105">
        <v>90000</v>
      </c>
      <c r="P59" s="105">
        <v>90000</v>
      </c>
      <c r="Q59" s="105">
        <v>90000</v>
      </c>
      <c r="R59" s="105">
        <v>90000</v>
      </c>
      <c r="S59" s="105">
        <v>90000</v>
      </c>
      <c r="T59" s="105">
        <v>90000</v>
      </c>
      <c r="U59" s="105">
        <v>90000</v>
      </c>
      <c r="V59" s="105">
        <v>90000</v>
      </c>
      <c r="W59" s="105">
        <v>90000</v>
      </c>
    </row>
    <row r="60" spans="2:23" x14ac:dyDescent="0.2">
      <c r="C60" s="83"/>
      <c r="D60" s="83"/>
      <c r="E60" s="83"/>
      <c r="F60" s="83"/>
      <c r="G60" s="83"/>
      <c r="H60" s="83"/>
      <c r="I60" s="83"/>
      <c r="J60" s="83"/>
      <c r="K60" s="83"/>
      <c r="L60" s="83"/>
      <c r="M60" s="83"/>
      <c r="N60" s="83"/>
      <c r="O60" s="83"/>
      <c r="P60" s="83"/>
      <c r="Q60" s="83"/>
      <c r="R60" s="83"/>
      <c r="S60" s="83"/>
      <c r="T60" s="83"/>
      <c r="U60" s="83"/>
      <c r="V60" s="83"/>
      <c r="W60" s="83"/>
    </row>
    <row r="61" spans="2:23" x14ac:dyDescent="0.2">
      <c r="B61" t="s">
        <v>72</v>
      </c>
      <c r="C61" s="83">
        <f>C55+C57-C58-C59</f>
        <v>-9792.2463631147257</v>
      </c>
      <c r="D61" s="83">
        <f t="shared" ref="D61:W61" si="38">D55+D57-D58-D59</f>
        <v>27514.425879999966</v>
      </c>
      <c r="E61" s="83">
        <f t="shared" si="38"/>
        <v>22918.662721307948</v>
      </c>
      <c r="F61" s="83">
        <f t="shared" si="38"/>
        <v>30812.0582107339</v>
      </c>
      <c r="G61" s="83">
        <f t="shared" si="38"/>
        <v>37867.025897668063</v>
      </c>
      <c r="H61" s="83">
        <f t="shared" si="38"/>
        <v>48208.443547559</v>
      </c>
      <c r="I61" s="83">
        <f t="shared" si="38"/>
        <v>56639.857645688491</v>
      </c>
      <c r="J61" s="83">
        <f t="shared" si="38"/>
        <v>64748.284306548099</v>
      </c>
      <c r="K61" s="83">
        <f t="shared" si="38"/>
        <v>71817.895689504454</v>
      </c>
      <c r="L61" s="83">
        <f t="shared" si="38"/>
        <v>82652.830415262375</v>
      </c>
      <c r="M61" s="83">
        <f t="shared" si="38"/>
        <v>92452.475336497999</v>
      </c>
      <c r="N61" s="83">
        <f t="shared" si="38"/>
        <v>101924.34902487509</v>
      </c>
      <c r="O61" s="83">
        <f t="shared" si="38"/>
        <v>110308.61808417653</v>
      </c>
      <c r="P61" s="83">
        <f t="shared" si="38"/>
        <v>122939.89106864517</v>
      </c>
      <c r="Q61" s="83">
        <f t="shared" si="38"/>
        <v>134294.22989591362</v>
      </c>
      <c r="R61" s="83">
        <f t="shared" si="38"/>
        <v>145330.75338201033</v>
      </c>
      <c r="S61" s="83">
        <f t="shared" si="38"/>
        <v>155281.41393168338</v>
      </c>
      <c r="T61" s="83">
        <f t="shared" si="38"/>
        <v>169514.6893384073</v>
      </c>
      <c r="U61" s="83">
        <f t="shared" si="38"/>
        <v>182631.42469954316</v>
      </c>
      <c r="V61" s="83">
        <f t="shared" si="38"/>
        <v>195461.76248758816</v>
      </c>
      <c r="W61" s="83">
        <f t="shared" si="38"/>
        <v>207223.27672817721</v>
      </c>
    </row>
    <row r="62" spans="2:23" x14ac:dyDescent="0.2">
      <c r="B62" t="s">
        <v>79</v>
      </c>
      <c r="D62" s="83">
        <f>D61/(1+'Assumptions &amp; Drivers'!$D$3)^1</f>
        <v>26848.286717545758</v>
      </c>
      <c r="E62" s="83">
        <f>E61/(1+'Assumptions &amp; Drivers'!$D$3)^2</f>
        <v>21822.350012043036</v>
      </c>
      <c r="F62" s="83">
        <f>F61/(1+'Assumptions &amp; Drivers'!$D$3)^3</f>
        <v>28627.872566517417</v>
      </c>
      <c r="G62" s="83">
        <f>G61/(1+'Assumptions &amp; Drivers'!$D$3)^4</f>
        <v>34330.93916379696</v>
      </c>
      <c r="H62" s="83">
        <f>H61/(1+'Assumptions &amp; Drivers'!$D$3)^5</f>
        <v>42648.495921946604</v>
      </c>
      <c r="I62" s="83">
        <f>I61/(1+'Assumptions &amp; Drivers'!$D$3)^6</f>
        <v>48894.373360481972</v>
      </c>
      <c r="J62" s="83">
        <f>J61/(1+'Assumptions &amp; Drivers'!$D$3)^7</f>
        <v>54540.751574018861</v>
      </c>
      <c r="K62" s="83">
        <f>K61/(1+'Assumptions &amp; Drivers'!$D$3)^8</f>
        <v>59031.205333434489</v>
      </c>
      <c r="L62" s="83">
        <f>L61/(1+'Assumptions &amp; Drivers'!$D$3)^9</f>
        <v>66292.260369466807</v>
      </c>
      <c r="M62" s="83">
        <f>M61/(1+'Assumptions &amp; Drivers'!$D$3)^10</f>
        <v>72356.868409214978</v>
      </c>
      <c r="N62" s="83">
        <f>N61/(1+'Assumptions &amp; Drivers'!$D$3)^11</f>
        <v>77838.648573552782</v>
      </c>
      <c r="O62" s="83">
        <f>O61/(1+'Assumptions &amp; Drivers'!$D$3)^12</f>
        <v>82202.098877242606</v>
      </c>
      <c r="P62" s="83">
        <f>P61/(1+'Assumptions &amp; Drivers'!$D$3)^13</f>
        <v>89396.889592457956</v>
      </c>
      <c r="Q62" s="83">
        <f>Q61/(1+'Assumptions &amp; Drivers'!$D$3)^14</f>
        <v>95289.063685705667</v>
      </c>
      <c r="R62" s="83">
        <f>R61/(1+'Assumptions &amp; Drivers'!$D$3)^15</f>
        <v>100623.48468025132</v>
      </c>
      <c r="S62" s="83">
        <f>S61/(1+'Assumptions &amp; Drivers'!$D$3)^16</f>
        <v>104910.13047469089</v>
      </c>
      <c r="T62" s="83">
        <f>T61/(1+'Assumptions &amp; Drivers'!$D$3)^17</f>
        <v>111753.57116039703</v>
      </c>
      <c r="U62" s="83">
        <f>U61/(1+'Assumptions &amp; Drivers'!$D$3)^18</f>
        <v>117485.88726273044</v>
      </c>
      <c r="V62" s="83">
        <f>V61/(1+'Assumptions &amp; Drivers'!$D$3)^19</f>
        <v>122695.35638255514</v>
      </c>
      <c r="W62" s="83">
        <f>W61/(1+'Assumptions &amp; Drivers'!$D$3)^20</f>
        <v>126929.03390651049</v>
      </c>
    </row>
    <row r="63" spans="2:23" x14ac:dyDescent="0.2">
      <c r="B63" s="5" t="s">
        <v>80</v>
      </c>
      <c r="C63" s="83">
        <f>SUM(D62:W62)</f>
        <v>1484517.5680245613</v>
      </c>
      <c r="D63" s="83"/>
      <c r="E63" s="83"/>
      <c r="F63" s="83"/>
      <c r="G63" s="83"/>
      <c r="H63" s="83"/>
      <c r="I63" s="83"/>
      <c r="J63" s="83"/>
      <c r="K63" s="83"/>
      <c r="L63" s="83"/>
      <c r="M63" s="83"/>
      <c r="N63" s="83"/>
      <c r="O63" s="83"/>
      <c r="P63" s="83"/>
      <c r="Q63" s="83"/>
      <c r="R63" s="83"/>
      <c r="S63" s="83"/>
      <c r="T63" s="83"/>
      <c r="U63" s="83"/>
      <c r="V63" s="83"/>
      <c r="W63" s="83"/>
    </row>
    <row r="64" spans="2:23" x14ac:dyDescent="0.2">
      <c r="C64" s="83"/>
      <c r="D64" s="83"/>
      <c r="E64" s="83"/>
      <c r="F64" s="83"/>
      <c r="G64" s="83"/>
      <c r="H64" s="83"/>
      <c r="I64" s="83"/>
      <c r="J64" s="83"/>
      <c r="K64" s="83"/>
      <c r="L64" s="83"/>
      <c r="M64" s="83"/>
      <c r="N64" s="83"/>
      <c r="O64" s="83"/>
      <c r="P64" s="83"/>
      <c r="Q64" s="83"/>
      <c r="R64" s="83"/>
      <c r="S64" s="83"/>
      <c r="T64" s="83"/>
      <c r="U64" s="83"/>
      <c r="V64" s="83"/>
      <c r="W64" s="83"/>
    </row>
    <row r="65" spans="2:25" x14ac:dyDescent="0.2">
      <c r="B65" s="5" t="s">
        <v>81</v>
      </c>
      <c r="C65" s="83"/>
      <c r="D65" s="83"/>
      <c r="E65" s="83"/>
      <c r="F65" s="83"/>
      <c r="G65" s="83"/>
      <c r="H65" s="83"/>
      <c r="I65" s="83"/>
      <c r="J65" s="83"/>
      <c r="K65" s="83"/>
      <c r="L65" s="83"/>
      <c r="M65" s="83"/>
      <c r="N65" s="83"/>
      <c r="O65" s="83"/>
      <c r="P65" s="83"/>
      <c r="Q65" s="83"/>
      <c r="R65" s="83"/>
      <c r="S65" s="83"/>
      <c r="T65" s="83"/>
      <c r="U65" s="83"/>
      <c r="V65" s="83"/>
      <c r="W65" s="83"/>
    </row>
    <row r="66" spans="2:25" x14ac:dyDescent="0.2">
      <c r="B66" t="s">
        <v>82</v>
      </c>
      <c r="C66" s="14">
        <f>'Assumptions &amp; Drivers'!$D$4</f>
        <v>7.4170717777328754E-3</v>
      </c>
      <c r="D66" s="83"/>
      <c r="E66" s="83"/>
      <c r="F66" s="83"/>
      <c r="G66" s="83"/>
      <c r="H66" s="83"/>
      <c r="I66" s="83"/>
      <c r="J66" s="83"/>
      <c r="K66" s="83"/>
      <c r="L66" s="83"/>
      <c r="M66" s="83"/>
      <c r="N66" s="83"/>
      <c r="O66" s="83"/>
      <c r="P66" s="83"/>
      <c r="Q66" s="83"/>
      <c r="R66" s="83"/>
      <c r="S66" s="83"/>
      <c r="T66" s="83"/>
      <c r="U66" s="83"/>
      <c r="V66" s="83"/>
      <c r="W66" s="83"/>
    </row>
    <row r="67" spans="2:25" x14ac:dyDescent="0.2">
      <c r="B67" t="s">
        <v>83</v>
      </c>
      <c r="C67" s="83">
        <f>W61*(1+C66)</f>
        <v>208760.26664568711</v>
      </c>
      <c r="D67" s="83"/>
      <c r="E67" s="83"/>
      <c r="F67" s="83"/>
      <c r="G67" s="83"/>
      <c r="H67" s="83"/>
      <c r="I67" s="83"/>
      <c r="J67" s="83"/>
      <c r="K67" s="83"/>
      <c r="L67" s="83"/>
      <c r="M67" s="83"/>
      <c r="N67" s="83"/>
      <c r="O67" s="83"/>
      <c r="P67" s="83"/>
      <c r="Q67" s="83"/>
      <c r="R67" s="83"/>
      <c r="S67" s="83"/>
      <c r="T67" s="83"/>
      <c r="U67" s="83"/>
      <c r="V67" s="83"/>
      <c r="W67" s="83"/>
    </row>
    <row r="68" spans="2:25" x14ac:dyDescent="0.2">
      <c r="B68" t="s">
        <v>84</v>
      </c>
      <c r="C68" s="9">
        <f>C67/('Assumptions &amp; Drivers'!$D$3-'Assumptions &amp; Drivers'!$D$4)</f>
        <v>12001742.130444657</v>
      </c>
      <c r="D68" s="163"/>
      <c r="E68" s="83"/>
      <c r="F68" s="83"/>
      <c r="G68" s="83"/>
      <c r="H68" s="83"/>
      <c r="I68" s="83"/>
      <c r="J68" s="83"/>
      <c r="K68" s="83"/>
      <c r="L68" s="83"/>
      <c r="M68" s="83"/>
      <c r="N68" s="83"/>
      <c r="O68" s="83"/>
      <c r="P68" s="83"/>
      <c r="Q68" s="83"/>
      <c r="R68" s="83"/>
      <c r="S68" s="83"/>
      <c r="T68" s="83"/>
      <c r="U68" s="83"/>
      <c r="V68" s="83"/>
      <c r="W68" s="83"/>
    </row>
    <row r="69" spans="2:25" x14ac:dyDescent="0.2">
      <c r="C69" s="83"/>
      <c r="D69" s="83"/>
      <c r="E69" s="83"/>
      <c r="F69" s="83"/>
      <c r="G69" s="83"/>
      <c r="H69" s="83"/>
      <c r="I69" s="83"/>
      <c r="J69" s="83"/>
      <c r="K69" s="83"/>
      <c r="L69" s="83"/>
      <c r="M69" s="83"/>
      <c r="N69" s="83"/>
      <c r="O69" s="83"/>
      <c r="P69" s="83"/>
      <c r="Q69" s="83"/>
      <c r="R69" s="83"/>
      <c r="S69" s="83"/>
      <c r="T69" s="83"/>
      <c r="U69" s="83"/>
      <c r="V69" s="83"/>
      <c r="W69" s="83"/>
    </row>
    <row r="70" spans="2:25" x14ac:dyDescent="0.2">
      <c r="B70" s="5" t="s">
        <v>85</v>
      </c>
      <c r="C70" s="83">
        <f>C68+C63</f>
        <v>13486259.698469218</v>
      </c>
      <c r="D70" s="83"/>
      <c r="E70" s="83"/>
      <c r="F70" s="83"/>
      <c r="G70" s="83"/>
      <c r="H70" s="83"/>
      <c r="I70" s="83"/>
      <c r="J70" s="83"/>
      <c r="K70" s="83"/>
      <c r="L70" s="83"/>
      <c r="M70" s="83"/>
      <c r="N70" s="83"/>
      <c r="O70" s="83"/>
      <c r="P70" s="83"/>
      <c r="Q70" s="83"/>
      <c r="R70" s="83"/>
      <c r="S70" s="83"/>
      <c r="T70" s="83"/>
      <c r="U70" s="83"/>
      <c r="V70" s="83"/>
      <c r="W70" s="83"/>
    </row>
    <row r="72" spans="2:25" x14ac:dyDescent="0.2">
      <c r="B72" s="177" t="s">
        <v>521</v>
      </c>
      <c r="C72" s="177"/>
      <c r="D72" s="177"/>
      <c r="E72" s="177"/>
      <c r="F72" s="177"/>
      <c r="G72" s="177"/>
      <c r="H72" s="177"/>
      <c r="I72" s="177"/>
      <c r="J72" s="177"/>
      <c r="K72" s="177"/>
      <c r="L72" s="177"/>
      <c r="M72" s="177"/>
      <c r="N72" s="177"/>
      <c r="O72" s="177"/>
      <c r="P72" s="177"/>
      <c r="Q72" s="177"/>
      <c r="R72" s="177"/>
      <c r="S72" s="177"/>
      <c r="T72" s="177"/>
      <c r="U72" s="177"/>
      <c r="V72" s="177"/>
      <c r="W72" s="177"/>
    </row>
    <row r="73" spans="2:25" x14ac:dyDescent="0.2">
      <c r="C73" t="s">
        <v>45</v>
      </c>
      <c r="D73" t="s">
        <v>46</v>
      </c>
    </row>
    <row r="74" spans="2:25" x14ac:dyDescent="0.2">
      <c r="B74" s="52"/>
      <c r="C74" s="23" t="s">
        <v>47</v>
      </c>
      <c r="D74" s="5" t="s">
        <v>48</v>
      </c>
      <c r="E74" s="5" t="s">
        <v>49</v>
      </c>
      <c r="F74" s="5" t="s">
        <v>50</v>
      </c>
      <c r="G74" s="5" t="s">
        <v>51</v>
      </c>
      <c r="H74" s="5" t="s">
        <v>52</v>
      </c>
      <c r="I74" s="5" t="s">
        <v>53</v>
      </c>
      <c r="J74" s="5" t="s">
        <v>54</v>
      </c>
      <c r="K74" s="5" t="s">
        <v>55</v>
      </c>
      <c r="L74" s="5" t="s">
        <v>56</v>
      </c>
      <c r="M74" s="5" t="s">
        <v>57</v>
      </c>
      <c r="N74" s="5" t="s">
        <v>58</v>
      </c>
      <c r="O74" s="5" t="s">
        <v>59</v>
      </c>
      <c r="P74" s="5" t="s">
        <v>60</v>
      </c>
      <c r="Q74" s="5" t="s">
        <v>61</v>
      </c>
      <c r="R74" s="5" t="s">
        <v>62</v>
      </c>
      <c r="S74" s="5" t="s">
        <v>63</v>
      </c>
      <c r="T74" s="5" t="s">
        <v>64</v>
      </c>
      <c r="U74" s="5" t="s">
        <v>65</v>
      </c>
      <c r="V74" s="5" t="s">
        <v>66</v>
      </c>
      <c r="W74" s="5" t="s">
        <v>67</v>
      </c>
      <c r="X74" s="5" t="s">
        <v>526</v>
      </c>
      <c r="Y74" s="175" t="s">
        <v>527</v>
      </c>
    </row>
    <row r="75" spans="2:25" x14ac:dyDescent="0.2">
      <c r="B75" s="52" t="s">
        <v>68</v>
      </c>
      <c r="C75" s="165">
        <f>'Financial Statements &amp; Metrics'!$N$10</f>
        <v>1107416</v>
      </c>
      <c r="D75" s="99">
        <f>C75*(1+D$76)</f>
        <v>1129564.32</v>
      </c>
      <c r="E75" s="99">
        <f t="shared" ref="E75:W75" si="39">D75*(1+E$76)</f>
        <v>1152155.6064000002</v>
      </c>
      <c r="F75" s="99">
        <f t="shared" si="39"/>
        <v>1175198.7185280002</v>
      </c>
      <c r="G75" s="99">
        <f t="shared" si="39"/>
        <v>1198702.6928985601</v>
      </c>
      <c r="H75" s="99">
        <f t="shared" si="39"/>
        <v>1210689.7198275458</v>
      </c>
      <c r="I75" s="99">
        <f t="shared" si="39"/>
        <v>1222796.6170258212</v>
      </c>
      <c r="J75" s="99">
        <f t="shared" si="39"/>
        <v>1235024.5831960794</v>
      </c>
      <c r="K75" s="99">
        <f t="shared" si="39"/>
        <v>1247374.8290280402</v>
      </c>
      <c r="L75" s="99">
        <f t="shared" si="39"/>
        <v>1256730.1402457505</v>
      </c>
      <c r="M75" s="99">
        <f t="shared" si="39"/>
        <v>1266155.6162975938</v>
      </c>
      <c r="N75" s="99">
        <f t="shared" si="39"/>
        <v>1275651.7834198258</v>
      </c>
      <c r="O75" s="99">
        <f t="shared" si="39"/>
        <v>1285219.1717954746</v>
      </c>
      <c r="P75" s="99">
        <f t="shared" si="39"/>
        <v>1294858.3155839408</v>
      </c>
      <c r="Q75" s="99">
        <f t="shared" si="39"/>
        <v>1304569.7529508204</v>
      </c>
      <c r="R75" s="99">
        <f t="shared" si="39"/>
        <v>1314354.0260979517</v>
      </c>
      <c r="S75" s="99">
        <f t="shared" si="39"/>
        <v>1324211.6812936864</v>
      </c>
      <c r="T75" s="99">
        <f t="shared" si="39"/>
        <v>1334143.2689033891</v>
      </c>
      <c r="U75" s="99">
        <f t="shared" si="39"/>
        <v>1344149.3434201647</v>
      </c>
      <c r="V75" s="99">
        <f t="shared" si="39"/>
        <v>1354230.4634958159</v>
      </c>
      <c r="W75" s="99">
        <f t="shared" si="39"/>
        <v>1364387.1919720345</v>
      </c>
    </row>
    <row r="76" spans="2:25" x14ac:dyDescent="0.2">
      <c r="B76" s="52" t="s">
        <v>69</v>
      </c>
      <c r="C76" s="72"/>
      <c r="D76" s="84">
        <f>'Assumptions &amp; Drivers'!C$53</f>
        <v>0.02</v>
      </c>
      <c r="E76" s="84">
        <f>'Assumptions &amp; Drivers'!D$53</f>
        <v>0.02</v>
      </c>
      <c r="F76" s="84">
        <f>'Assumptions &amp; Drivers'!E$53</f>
        <v>0.02</v>
      </c>
      <c r="G76" s="84">
        <f>'Assumptions &amp; Drivers'!F$53</f>
        <v>0.02</v>
      </c>
      <c r="H76" s="84">
        <f>'Assumptions &amp; Drivers'!G$53</f>
        <v>0.01</v>
      </c>
      <c r="I76" s="84">
        <f>'Assumptions &amp; Drivers'!H$53</f>
        <v>0.01</v>
      </c>
      <c r="J76" s="84">
        <f>'Assumptions &amp; Drivers'!I$53</f>
        <v>0.01</v>
      </c>
      <c r="K76" s="84">
        <f>'Assumptions &amp; Drivers'!J$53</f>
        <v>0.01</v>
      </c>
      <c r="L76" s="84">
        <f>'Assumptions &amp; Drivers'!K$53</f>
        <v>7.4999999999999997E-3</v>
      </c>
      <c r="M76" s="84">
        <f>'Assumptions &amp; Drivers'!L$53</f>
        <v>7.4999999999999997E-3</v>
      </c>
      <c r="N76" s="84">
        <f>'Assumptions &amp; Drivers'!M$53</f>
        <v>7.4999999999999997E-3</v>
      </c>
      <c r="O76" s="84">
        <f>'Assumptions &amp; Drivers'!N$53</f>
        <v>7.4999999999999997E-3</v>
      </c>
      <c r="P76" s="84">
        <f>'Assumptions &amp; Drivers'!O$53</f>
        <v>7.4999999999999997E-3</v>
      </c>
      <c r="Q76" s="84">
        <f>'Assumptions &amp; Drivers'!P$53</f>
        <v>7.4999999999999997E-3</v>
      </c>
      <c r="R76" s="84">
        <f>'Assumptions &amp; Drivers'!Q$53</f>
        <v>7.4999999999999997E-3</v>
      </c>
      <c r="S76" s="84">
        <f>'Assumptions &amp; Drivers'!R$53</f>
        <v>7.4999999999999997E-3</v>
      </c>
      <c r="T76" s="84">
        <f>'Assumptions &amp; Drivers'!S$53</f>
        <v>7.4999999999999997E-3</v>
      </c>
      <c r="U76" s="84">
        <f>'Assumptions &amp; Drivers'!T$53</f>
        <v>7.4999999999999997E-3</v>
      </c>
      <c r="V76" s="84">
        <f>'Assumptions &amp; Drivers'!U$53</f>
        <v>7.4999999999999997E-3</v>
      </c>
      <c r="W76" s="84">
        <f>'Assumptions &amp; Drivers'!V$53</f>
        <v>7.4999999999999997E-3</v>
      </c>
      <c r="X76" s="174">
        <f>((W75/D75)^(1/20))-1</f>
        <v>9.4884013129348244E-3</v>
      </c>
      <c r="Y76" s="14">
        <f>((1+X76)^4)-1</f>
        <v>3.8497208867900534E-2</v>
      </c>
    </row>
    <row r="77" spans="2:25" x14ac:dyDescent="0.2">
      <c r="B77" s="52"/>
      <c r="C77" s="72"/>
      <c r="T77" s="72"/>
    </row>
    <row r="78" spans="2:25" x14ac:dyDescent="0.2">
      <c r="B78" s="52" t="s">
        <v>70</v>
      </c>
      <c r="C78" s="101">
        <f>C75/'Financial Statements &amp; Metrics'!$N$4</f>
        <v>4412.0159362549803</v>
      </c>
      <c r="D78" s="101">
        <f>D75/'Assumptions &amp; Drivers'!C$55</f>
        <v>4447.1036220472442</v>
      </c>
      <c r="E78" s="101">
        <f>E75/'Assumptions &amp; Drivers'!D$55</f>
        <v>4465.7194046511631</v>
      </c>
      <c r="F78" s="101">
        <f>F75/'Assumptions &amp; Drivers'!E$55</f>
        <v>4434.7121453886803</v>
      </c>
      <c r="G78" s="101">
        <f>G75/'Assumptions &amp; Drivers'!F$55</f>
        <v>4343.1256989078265</v>
      </c>
      <c r="H78" s="101">
        <f>H75/'Assumptions &amp; Drivers'!G$55</f>
        <v>4339.3896768012391</v>
      </c>
      <c r="I78" s="101">
        <f>I75/'Assumptions &amp; Drivers'!H$55</f>
        <v>4320.8361025647391</v>
      </c>
      <c r="J78" s="101">
        <f>J75/'Assumptions &amp; Drivers'!I$55</f>
        <v>4258.7054592968252</v>
      </c>
      <c r="K78" s="101">
        <f>K75/'Assumptions &amp; Drivers'!J$55</f>
        <v>4144.102422020067</v>
      </c>
      <c r="L78" s="101">
        <f>L75/'Assumptions &amp; Drivers'!K$55</f>
        <v>4133.9807244926005</v>
      </c>
      <c r="M78" s="101">
        <f>M75/'Assumptions &amp; Drivers'!L$55</f>
        <v>4110.8948581090708</v>
      </c>
      <c r="N78" s="101">
        <f>N75/'Assumptions &amp; Drivers'!M$55</f>
        <v>4049.6882013327804</v>
      </c>
      <c r="O78" s="101">
        <f>O75/'Assumptions &amp; Drivers'!N$55</f>
        <v>3942.3900975321308</v>
      </c>
      <c r="P78" s="101">
        <f>P75/'Assumptions &amp; Drivers'!O$55</f>
        <v>3935.7395610454128</v>
      </c>
      <c r="Q78" s="101">
        <f>Q75/'Assumptions &amp; Drivers'!P$55</f>
        <v>3917.6268857381992</v>
      </c>
      <c r="R78" s="101">
        <f>R75/'Assumptions &amp; Drivers'!Q$55</f>
        <v>3865.7471355822108</v>
      </c>
      <c r="S78" s="101">
        <f>S75/'Assumptions &amp; Drivers'!R$55</f>
        <v>3772.6828526885652</v>
      </c>
      <c r="T78" s="101">
        <f>T75/'Assumptions &amp; Drivers'!S$55</f>
        <v>3768.7662963372572</v>
      </c>
      <c r="U78" s="101">
        <f>U75/'Assumptions &amp; Drivers'!T$55</f>
        <v>3754.6071045255994</v>
      </c>
      <c r="V78" s="101">
        <f>V75/'Assumptions &amp; Drivers'!U$55</f>
        <v>3710.220447933742</v>
      </c>
      <c r="W78" s="101">
        <f>W75/'Assumptions &amp; Drivers'!V$55</f>
        <v>3628.6893403511558</v>
      </c>
    </row>
    <row r="79" spans="2:25" x14ac:dyDescent="0.2">
      <c r="B79" s="52" t="s">
        <v>71</v>
      </c>
      <c r="C79" s="72"/>
      <c r="D79" s="73">
        <f>(D78/C78-1)</f>
        <v>7.9527559055116992E-3</v>
      </c>
      <c r="E79" s="73">
        <f t="shared" ref="E79" si="40">(E78/D78-1)</f>
        <v>4.1860465116279055E-3</v>
      </c>
      <c r="F79" s="73">
        <f t="shared" ref="F79" si="41">(F78/E78-1)</f>
        <v>-6.9433962264149329E-3</v>
      </c>
      <c r="G79" s="73">
        <f t="shared" ref="G79" si="42">(G78/F78-1)</f>
        <v>-2.0652173913043637E-2</v>
      </c>
      <c r="H79" s="73">
        <f t="shared" ref="H79" si="43">(H78/G78-1)</f>
        <v>-8.6021505376343566E-4</v>
      </c>
      <c r="I79" s="73">
        <f t="shared" ref="I79" si="44">(I78/H78-1)</f>
        <v>-4.2756183745583654E-3</v>
      </c>
      <c r="J79" s="73">
        <f t="shared" ref="J79" si="45">(J78/I78-1)</f>
        <v>-1.4379310344827645E-2</v>
      </c>
      <c r="K79" s="73">
        <f t="shared" ref="K79" si="46">(K78/J78-1)</f>
        <v>-2.6910299003322202E-2</v>
      </c>
      <c r="L79" s="73">
        <f t="shared" ref="L79" si="47">(L78/K78-1)</f>
        <v>-2.4424342105262564E-3</v>
      </c>
      <c r="M79" s="73">
        <f t="shared" ref="M79" si="48">(M78/L78-1)</f>
        <v>-5.5844155844154697E-3</v>
      </c>
      <c r="N79" s="73">
        <f t="shared" ref="N79" si="49">(N78/M78-1)</f>
        <v>-1.488888888888884E-2</v>
      </c>
      <c r="O79" s="73">
        <f t="shared" ref="O79" si="50">(O78/N78-1)</f>
        <v>-2.6495398773006107E-2</v>
      </c>
      <c r="P79" s="73">
        <f t="shared" ref="P79" si="51">(P78/O78-1)</f>
        <v>-1.686930091185368E-3</v>
      </c>
      <c r="Q79" s="73">
        <f t="shared" ref="Q79" si="52">(Q78/P78-1)</f>
        <v>-4.6021021021021014E-3</v>
      </c>
      <c r="R79" s="73">
        <f t="shared" ref="R79" si="53">(R78/Q78-1)</f>
        <v>-1.3242647058823387E-2</v>
      </c>
      <c r="S79" s="73">
        <f t="shared" ref="S79" si="54">(S78/R78-1)</f>
        <v>-2.4074074074074026E-2</v>
      </c>
      <c r="T79" s="73">
        <f t="shared" ref="T79" si="55">(T78/S78-1)</f>
        <v>-1.0381355932203018E-3</v>
      </c>
      <c r="U79" s="73">
        <f t="shared" ref="U79" si="56">(U78/T78-1)</f>
        <v>-3.7569832402233327E-3</v>
      </c>
      <c r="V79" s="73">
        <f t="shared" ref="V79" si="57">(V78/U78-1)</f>
        <v>-1.1821917808219173E-2</v>
      </c>
      <c r="W79" s="73">
        <f t="shared" ref="W79" si="58">(W78/V78-1)</f>
        <v>-2.1974734042553123E-2</v>
      </c>
    </row>
    <row r="80" spans="2:25" x14ac:dyDescent="0.2">
      <c r="B80" s="52"/>
      <c r="C80" s="23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23"/>
      <c r="U80" s="5"/>
      <c r="V80" s="5"/>
      <c r="W80" s="5"/>
    </row>
    <row r="81" spans="2:23" x14ac:dyDescent="0.2">
      <c r="B81" s="144" t="s">
        <v>72</v>
      </c>
    </row>
    <row r="82" spans="2:23" x14ac:dyDescent="0.2">
      <c r="B82" s="52" t="s">
        <v>73</v>
      </c>
      <c r="C82" s="166">
        <f t="shared" ref="C82:W82" si="59">C75</f>
        <v>1107416</v>
      </c>
      <c r="D82" s="100">
        <f t="shared" si="59"/>
        <v>1129564.32</v>
      </c>
      <c r="E82" s="100">
        <f t="shared" si="59"/>
        <v>1152155.6064000002</v>
      </c>
      <c r="F82" s="100">
        <f t="shared" si="59"/>
        <v>1175198.7185280002</v>
      </c>
      <c r="G82" s="100">
        <f t="shared" si="59"/>
        <v>1198702.6928985601</v>
      </c>
      <c r="H82" s="100">
        <f t="shared" si="59"/>
        <v>1210689.7198275458</v>
      </c>
      <c r="I82" s="100">
        <f t="shared" si="59"/>
        <v>1222796.6170258212</v>
      </c>
      <c r="J82" s="100">
        <f t="shared" si="59"/>
        <v>1235024.5831960794</v>
      </c>
      <c r="K82" s="100">
        <f t="shared" si="59"/>
        <v>1247374.8290280402</v>
      </c>
      <c r="L82" s="100">
        <f t="shared" si="59"/>
        <v>1256730.1402457505</v>
      </c>
      <c r="M82" s="100">
        <f t="shared" si="59"/>
        <v>1266155.6162975938</v>
      </c>
      <c r="N82" s="100">
        <f t="shared" si="59"/>
        <v>1275651.7834198258</v>
      </c>
      <c r="O82" s="100">
        <f t="shared" si="59"/>
        <v>1285219.1717954746</v>
      </c>
      <c r="P82" s="100">
        <f t="shared" si="59"/>
        <v>1294858.3155839408</v>
      </c>
      <c r="Q82" s="100">
        <f t="shared" si="59"/>
        <v>1304569.7529508204</v>
      </c>
      <c r="R82" s="100">
        <f t="shared" si="59"/>
        <v>1314354.0260979517</v>
      </c>
      <c r="S82" s="100">
        <f t="shared" si="59"/>
        <v>1324211.6812936864</v>
      </c>
      <c r="T82" s="100">
        <f t="shared" si="59"/>
        <v>1334143.2689033891</v>
      </c>
      <c r="U82" s="100">
        <f t="shared" si="59"/>
        <v>1344149.3434201647</v>
      </c>
      <c r="V82" s="100">
        <f t="shared" si="59"/>
        <v>1354230.4634958159</v>
      </c>
      <c r="W82" s="100">
        <f t="shared" si="59"/>
        <v>1364387.1919720345</v>
      </c>
    </row>
    <row r="83" spans="2:23" x14ac:dyDescent="0.2">
      <c r="B83" s="52" t="s">
        <v>69</v>
      </c>
      <c r="C83" s="72"/>
      <c r="D83" s="84">
        <f t="shared" ref="D83:W83" si="60">D76</f>
        <v>0.02</v>
      </c>
      <c r="E83" s="84">
        <f t="shared" si="60"/>
        <v>0.02</v>
      </c>
      <c r="F83" s="84">
        <f t="shared" si="60"/>
        <v>0.02</v>
      </c>
      <c r="G83" s="84">
        <f t="shared" si="60"/>
        <v>0.02</v>
      </c>
      <c r="H83" s="84">
        <f t="shared" si="60"/>
        <v>0.01</v>
      </c>
      <c r="I83" s="84">
        <f t="shared" si="60"/>
        <v>0.01</v>
      </c>
      <c r="J83" s="84">
        <f t="shared" si="60"/>
        <v>0.01</v>
      </c>
      <c r="K83" s="84">
        <f t="shared" si="60"/>
        <v>0.01</v>
      </c>
      <c r="L83" s="84">
        <f t="shared" si="60"/>
        <v>7.4999999999999997E-3</v>
      </c>
      <c r="M83" s="84">
        <f t="shared" si="60"/>
        <v>7.4999999999999997E-3</v>
      </c>
      <c r="N83" s="84">
        <f t="shared" si="60"/>
        <v>7.4999999999999997E-3</v>
      </c>
      <c r="O83" s="84">
        <f t="shared" si="60"/>
        <v>7.4999999999999997E-3</v>
      </c>
      <c r="P83" s="84">
        <f t="shared" si="60"/>
        <v>7.4999999999999997E-3</v>
      </c>
      <c r="Q83" s="84">
        <f t="shared" si="60"/>
        <v>7.4999999999999997E-3</v>
      </c>
      <c r="R83" s="84">
        <f t="shared" si="60"/>
        <v>7.4999999999999997E-3</v>
      </c>
      <c r="S83" s="84">
        <f t="shared" si="60"/>
        <v>7.4999999999999997E-3</v>
      </c>
      <c r="T83" s="84">
        <f t="shared" si="60"/>
        <v>7.4999999999999997E-3</v>
      </c>
      <c r="U83" s="84">
        <f t="shared" si="60"/>
        <v>7.4999999999999997E-3</v>
      </c>
      <c r="V83" s="84">
        <f t="shared" si="60"/>
        <v>7.4999999999999997E-3</v>
      </c>
      <c r="W83" s="84">
        <f t="shared" si="60"/>
        <v>7.4999999999999997E-3</v>
      </c>
    </row>
    <row r="84" spans="2:23" x14ac:dyDescent="0.2">
      <c r="B84" s="52" t="s">
        <v>74</v>
      </c>
      <c r="C84" s="105">
        <f>C82*'Financial Statements &amp; Metrics'!$N$104</f>
        <v>626095</v>
      </c>
      <c r="D84" s="105">
        <f>D82*'Assumptions &amp; Drivers'!C$57</f>
        <v>638616.9</v>
      </c>
      <c r="E84" s="105">
        <f>E82*'Assumptions &amp; Drivers'!D$57</f>
        <v>651389.23800000013</v>
      </c>
      <c r="F84" s="105">
        <f>F82*'Assumptions &amp; Drivers'!E$57</f>
        <v>664417.02276000008</v>
      </c>
      <c r="G84" s="105">
        <f>G82*'Assumptions &amp; Drivers'!F$57</f>
        <v>677705.36321520002</v>
      </c>
      <c r="H84" s="105">
        <f>H82*'Assumptions &amp; Drivers'!G$57</f>
        <v>684482.41684735217</v>
      </c>
      <c r="I84" s="105">
        <f>I82*'Assumptions &amp; Drivers'!H$57</f>
        <v>691327.24101582565</v>
      </c>
      <c r="J84" s="105">
        <f>J82*'Assumptions &amp; Drivers'!I$57</f>
        <v>698240.51342598384</v>
      </c>
      <c r="K84" s="105">
        <f>K82*'Assumptions &amp; Drivers'!J$57</f>
        <v>705222.91856024368</v>
      </c>
      <c r="L84" s="105">
        <f>L82*'Assumptions &amp; Drivers'!K$57</f>
        <v>710512.09044944553</v>
      </c>
      <c r="M84" s="105">
        <f>M82*'Assumptions &amp; Drivers'!L$57</f>
        <v>715840.93112781644</v>
      </c>
      <c r="N84" s="105">
        <f>N82*'Assumptions &amp; Drivers'!M$57</f>
        <v>721209.73811127513</v>
      </c>
      <c r="O84" s="105">
        <f>O82*'Assumptions &amp; Drivers'!N$57</f>
        <v>726618.81114710972</v>
      </c>
      <c r="P84" s="105">
        <f>P82*'Assumptions &amp; Drivers'!O$57</f>
        <v>732068.4522307131</v>
      </c>
      <c r="Q84" s="105">
        <f>Q82*'Assumptions &amp; Drivers'!P$57</f>
        <v>737558.96562244347</v>
      </c>
      <c r="R84" s="105">
        <f>R82*'Assumptions &amp; Drivers'!Q$57</f>
        <v>743090.65786461195</v>
      </c>
      <c r="S84" s="105">
        <f>S82*'Assumptions &amp; Drivers'!R$57</f>
        <v>748663.83779859659</v>
      </c>
      <c r="T84" s="105">
        <f>T82*'Assumptions &amp; Drivers'!S$57</f>
        <v>754278.81658208603</v>
      </c>
      <c r="U84" s="105">
        <f>U82*'Assumptions &amp; Drivers'!T$57</f>
        <v>759935.90770645172</v>
      </c>
      <c r="V84" s="105">
        <f>V82*'Assumptions &amp; Drivers'!U$57</f>
        <v>765635.42701425019</v>
      </c>
      <c r="W84" s="105">
        <f>W82*'Assumptions &amp; Drivers'!V$57</f>
        <v>771377.69271685707</v>
      </c>
    </row>
    <row r="85" spans="2:23" x14ac:dyDescent="0.2">
      <c r="B85" s="52" t="s">
        <v>75</v>
      </c>
      <c r="C85" s="105">
        <f>C82-C84</f>
        <v>481321</v>
      </c>
      <c r="D85" s="105">
        <f t="shared" ref="D85:W85" si="61">D82-D84</f>
        <v>490947.42000000004</v>
      </c>
      <c r="E85" s="105">
        <f t="shared" si="61"/>
        <v>500766.36840000004</v>
      </c>
      <c r="F85" s="105">
        <f t="shared" si="61"/>
        <v>510781.69576800009</v>
      </c>
      <c r="G85" s="105">
        <f t="shared" si="61"/>
        <v>520997.32968336006</v>
      </c>
      <c r="H85" s="105">
        <f t="shared" si="61"/>
        <v>526207.30298019364</v>
      </c>
      <c r="I85" s="105">
        <f t="shared" si="61"/>
        <v>531469.37600999558</v>
      </c>
      <c r="J85" s="105">
        <f t="shared" si="61"/>
        <v>536784.06977009552</v>
      </c>
      <c r="K85" s="105">
        <f t="shared" si="61"/>
        <v>542151.91046779649</v>
      </c>
      <c r="L85" s="105">
        <f t="shared" si="61"/>
        <v>546218.04979630501</v>
      </c>
      <c r="M85" s="105">
        <f t="shared" si="61"/>
        <v>550314.68516977737</v>
      </c>
      <c r="N85" s="105">
        <f t="shared" si="61"/>
        <v>554442.0453085507</v>
      </c>
      <c r="O85" s="105">
        <f t="shared" si="61"/>
        <v>558600.36064836488</v>
      </c>
      <c r="P85" s="105">
        <f t="shared" si="61"/>
        <v>562789.86335322773</v>
      </c>
      <c r="Q85" s="105">
        <f t="shared" si="61"/>
        <v>567010.7873283769</v>
      </c>
      <c r="R85" s="105">
        <f t="shared" si="61"/>
        <v>571263.36823333974</v>
      </c>
      <c r="S85" s="105">
        <f t="shared" si="61"/>
        <v>575547.84349508979</v>
      </c>
      <c r="T85" s="105">
        <f t="shared" si="61"/>
        <v>579864.45232130308</v>
      </c>
      <c r="U85" s="105">
        <f t="shared" si="61"/>
        <v>584213.43571371294</v>
      </c>
      <c r="V85" s="105">
        <f t="shared" si="61"/>
        <v>588595.03648156568</v>
      </c>
      <c r="W85" s="105">
        <f t="shared" si="61"/>
        <v>593009.49925517745</v>
      </c>
    </row>
    <row r="86" spans="2:23" x14ac:dyDescent="0.2">
      <c r="B86" s="52" t="s">
        <v>76</v>
      </c>
      <c r="C86" s="105">
        <f>C82*'Financial Statements &amp; Metrics'!$N$106</f>
        <v>422101</v>
      </c>
      <c r="D86" s="105">
        <f>D82*'Assumptions &amp; Drivers'!C$58</f>
        <v>430543.02</v>
      </c>
      <c r="E86" s="105">
        <f>E82*'Assumptions &amp; Drivers'!D$58</f>
        <v>439153.88040000002</v>
      </c>
      <c r="F86" s="105">
        <f>F82*'Assumptions &amp; Drivers'!E$58</f>
        <v>447936.95800800005</v>
      </c>
      <c r="G86" s="105">
        <f>G82*'Assumptions &amp; Drivers'!F$58</f>
        <v>456895.69716816</v>
      </c>
      <c r="H86" s="105">
        <f>H82*'Assumptions &amp; Drivers'!G$58</f>
        <v>461464.65413984167</v>
      </c>
      <c r="I86" s="105">
        <f>I82*'Assumptions &amp; Drivers'!H$58</f>
        <v>466079.30068124004</v>
      </c>
      <c r="J86" s="105">
        <f>J82*'Assumptions &amp; Drivers'!I$58</f>
        <v>470740.09368805244</v>
      </c>
      <c r="K86" s="105">
        <f>K82*'Assumptions &amp; Drivers'!J$58</f>
        <v>475447.494624933</v>
      </c>
      <c r="L86" s="105">
        <f>L82*'Assumptions &amp; Drivers'!K$58</f>
        <v>479013.35083462001</v>
      </c>
      <c r="M86" s="105">
        <f>M82*'Assumptions &amp; Drivers'!L$58</f>
        <v>482605.95096587972</v>
      </c>
      <c r="N86" s="105">
        <f>N82*'Assumptions &amp; Drivers'!M$58</f>
        <v>486225.49559812382</v>
      </c>
      <c r="O86" s="105">
        <f>O82*'Assumptions &amp; Drivers'!N$58</f>
        <v>489872.1868151098</v>
      </c>
      <c r="P86" s="105">
        <f>P82*'Assumptions &amp; Drivers'!O$58</f>
        <v>493546.22821622319</v>
      </c>
      <c r="Q86" s="105">
        <f>Q82*'Assumptions &amp; Drivers'!P$58</f>
        <v>497247.82492784481</v>
      </c>
      <c r="R86" s="105">
        <f>R82*'Assumptions &amp; Drivers'!Q$58</f>
        <v>500977.18361480371</v>
      </c>
      <c r="S86" s="105">
        <f>S82*'Assumptions &amp; Drivers'!R$58</f>
        <v>504734.51249191479</v>
      </c>
      <c r="T86" s="105">
        <f>T82*'Assumptions &amp; Drivers'!S$58</f>
        <v>508520.02133560419</v>
      </c>
      <c r="U86" s="105">
        <f>U82*'Assumptions &amp; Drivers'!T$58</f>
        <v>512333.92149562127</v>
      </c>
      <c r="V86" s="105">
        <f>V82*'Assumptions &amp; Drivers'!U$58</f>
        <v>516176.42590683838</v>
      </c>
      <c r="W86" s="105">
        <f>W82*'Assumptions &amp; Drivers'!V$58</f>
        <v>520047.74910113972</v>
      </c>
    </row>
    <row r="87" spans="2:23" x14ac:dyDescent="0.2">
      <c r="B87" s="52" t="s">
        <v>77</v>
      </c>
      <c r="C87" s="105">
        <f>C85-C86</f>
        <v>59220</v>
      </c>
      <c r="D87" s="105">
        <f t="shared" ref="D87:W87" si="62">D85-D86</f>
        <v>60404.400000000023</v>
      </c>
      <c r="E87" s="105">
        <f t="shared" si="62"/>
        <v>61612.488000000012</v>
      </c>
      <c r="F87" s="105">
        <f t="shared" si="62"/>
        <v>62844.737760000047</v>
      </c>
      <c r="G87" s="105">
        <f t="shared" si="62"/>
        <v>64101.632515200065</v>
      </c>
      <c r="H87" s="105">
        <f t="shared" si="62"/>
        <v>64742.648840351962</v>
      </c>
      <c r="I87" s="105">
        <f t="shared" si="62"/>
        <v>65390.075328755542</v>
      </c>
      <c r="J87" s="105">
        <f t="shared" si="62"/>
        <v>66043.976082043082</v>
      </c>
      <c r="K87" s="105">
        <f t="shared" si="62"/>
        <v>66704.415842863498</v>
      </c>
      <c r="L87" s="105">
        <f t="shared" si="62"/>
        <v>67204.698961685004</v>
      </c>
      <c r="M87" s="105">
        <f t="shared" si="62"/>
        <v>67708.734203897649</v>
      </c>
      <c r="N87" s="105">
        <f t="shared" si="62"/>
        <v>68216.549710426887</v>
      </c>
      <c r="O87" s="105">
        <f t="shared" si="62"/>
        <v>68728.173833255074</v>
      </c>
      <c r="P87" s="105">
        <f t="shared" si="62"/>
        <v>69243.635137004545</v>
      </c>
      <c r="Q87" s="105">
        <f t="shared" si="62"/>
        <v>69762.962400532095</v>
      </c>
      <c r="R87" s="105">
        <f t="shared" si="62"/>
        <v>70286.184618536034</v>
      </c>
      <c r="S87" s="105">
        <f t="shared" si="62"/>
        <v>70813.331003175001</v>
      </c>
      <c r="T87" s="105">
        <f t="shared" si="62"/>
        <v>71344.430985698884</v>
      </c>
      <c r="U87" s="105">
        <f t="shared" si="62"/>
        <v>71879.514218091674</v>
      </c>
      <c r="V87" s="105">
        <f t="shared" si="62"/>
        <v>72418.610574727296</v>
      </c>
      <c r="W87" s="105">
        <f t="shared" si="62"/>
        <v>72961.750154037727</v>
      </c>
    </row>
    <row r="88" spans="2:23" x14ac:dyDescent="0.2">
      <c r="B88" s="52" t="s">
        <v>13</v>
      </c>
      <c r="C88" s="102">
        <f>'Financial Statements &amp; Metrics'!$N$113</f>
        <v>0.19863637897863434</v>
      </c>
      <c r="D88" s="102">
        <f>'Assumptions &amp; Drivers'!C$60</f>
        <v>0.22</v>
      </c>
      <c r="E88" s="102">
        <f>'Assumptions &amp; Drivers'!D$60</f>
        <v>0.22</v>
      </c>
      <c r="F88" s="102">
        <f>'Assumptions &amp; Drivers'!E$60</f>
        <v>0.22</v>
      </c>
      <c r="G88" s="102">
        <f>'Assumptions &amp; Drivers'!F$60</f>
        <v>0.22</v>
      </c>
      <c r="H88" s="86">
        <f>'Assumptions &amp; Drivers'!G$60</f>
        <v>0.20644366131306424</v>
      </c>
      <c r="I88" s="86">
        <f>'Assumptions &amp; Drivers'!H$60</f>
        <v>0.20644366131306424</v>
      </c>
      <c r="J88" s="86">
        <f>'Assumptions &amp; Drivers'!I$60</f>
        <v>0.20644366131306424</v>
      </c>
      <c r="K88" s="86">
        <f>'Assumptions &amp; Drivers'!J$60</f>
        <v>0.20644366131306424</v>
      </c>
      <c r="L88" s="86">
        <f>'Assumptions &amp; Drivers'!K$60</f>
        <v>0.20644366131306424</v>
      </c>
      <c r="M88" s="86">
        <f>'Assumptions &amp; Drivers'!L$60</f>
        <v>0.20644366131306424</v>
      </c>
      <c r="N88" s="86">
        <f>'Assumptions &amp; Drivers'!M$60</f>
        <v>0.20644366131306424</v>
      </c>
      <c r="O88" s="86">
        <f>'Assumptions &amp; Drivers'!N$60</f>
        <v>0.20644366131306424</v>
      </c>
      <c r="P88" s="86">
        <f>'Assumptions &amp; Drivers'!O$60</f>
        <v>0.20644366131306424</v>
      </c>
      <c r="Q88" s="86">
        <f>'Assumptions &amp; Drivers'!P$60</f>
        <v>0.20644366131306424</v>
      </c>
      <c r="R88" s="86">
        <f>'Assumptions &amp; Drivers'!Q$60</f>
        <v>0.20644366131306424</v>
      </c>
      <c r="S88" s="86">
        <f>'Assumptions &amp; Drivers'!R$60</f>
        <v>0.20644366131306424</v>
      </c>
      <c r="T88" s="86">
        <f>'Assumptions &amp; Drivers'!S$60</f>
        <v>0.20644366131306424</v>
      </c>
      <c r="U88" s="86">
        <f>'Assumptions &amp; Drivers'!T$60</f>
        <v>0.20644366131306424</v>
      </c>
      <c r="V88" s="86">
        <f>'Assumptions &amp; Drivers'!U$60</f>
        <v>0.20644366131306424</v>
      </c>
      <c r="W88" s="86">
        <f>'Assumptions &amp; Drivers'!V$60</f>
        <v>0.20644366131306424</v>
      </c>
    </row>
    <row r="89" spans="2:23" x14ac:dyDescent="0.2">
      <c r="B89" s="52" t="s">
        <v>78</v>
      </c>
      <c r="C89" s="105">
        <f>C87*(1-C88)</f>
        <v>47456.753636885274</v>
      </c>
      <c r="D89" s="105">
        <f t="shared" ref="D89:W89" si="63">D87*(1-D88)</f>
        <v>47115.432000000023</v>
      </c>
      <c r="E89" s="105">
        <f t="shared" si="63"/>
        <v>48057.740640000011</v>
      </c>
      <c r="F89" s="105">
        <f t="shared" si="63"/>
        <v>49018.895452800039</v>
      </c>
      <c r="G89" s="105">
        <f t="shared" si="63"/>
        <v>49999.273361856052</v>
      </c>
      <c r="H89" s="105">
        <f t="shared" si="63"/>
        <v>51376.939370643689</v>
      </c>
      <c r="I89" s="105">
        <f t="shared" si="63"/>
        <v>51890.708764350173</v>
      </c>
      <c r="J89" s="105">
        <f t="shared" si="63"/>
        <v>52409.615851993665</v>
      </c>
      <c r="K89" s="105">
        <f t="shared" si="63"/>
        <v>52933.712010513591</v>
      </c>
      <c r="L89" s="105">
        <f t="shared" si="63"/>
        <v>53330.714850592463</v>
      </c>
      <c r="M89" s="105">
        <f t="shared" si="63"/>
        <v>53730.695211971914</v>
      </c>
      <c r="N89" s="105">
        <f t="shared" si="63"/>
        <v>54133.675426061709</v>
      </c>
      <c r="O89" s="105">
        <f t="shared" si="63"/>
        <v>54539.677991757162</v>
      </c>
      <c r="P89" s="105">
        <f t="shared" si="63"/>
        <v>54948.725576695382</v>
      </c>
      <c r="Q89" s="105">
        <f t="shared" si="63"/>
        <v>55360.841018520608</v>
      </c>
      <c r="R89" s="105">
        <f t="shared" si="63"/>
        <v>55776.047326159474</v>
      </c>
      <c r="S89" s="105">
        <f t="shared" si="63"/>
        <v>56194.367681105628</v>
      </c>
      <c r="T89" s="105">
        <f t="shared" si="63"/>
        <v>56615.825438713975</v>
      </c>
      <c r="U89" s="105">
        <f t="shared" si="63"/>
        <v>57040.444129504373</v>
      </c>
      <c r="V89" s="105">
        <f t="shared" si="63"/>
        <v>57468.247460475599</v>
      </c>
      <c r="W89" s="105">
        <f t="shared" si="63"/>
        <v>57899.259316429147</v>
      </c>
    </row>
    <row r="90" spans="2:23" x14ac:dyDescent="0.2">
      <c r="B90" s="52"/>
      <c r="C90" s="105"/>
      <c r="D90" s="105"/>
      <c r="E90" s="105"/>
      <c r="F90" s="105"/>
      <c r="G90" s="105"/>
      <c r="H90" s="105"/>
      <c r="I90" s="105"/>
      <c r="J90" s="105"/>
      <c r="K90" s="105"/>
      <c r="L90" s="105"/>
      <c r="M90" s="105"/>
      <c r="N90" s="105"/>
      <c r="O90" s="105"/>
      <c r="P90" s="105"/>
      <c r="Q90" s="105"/>
      <c r="R90" s="105"/>
      <c r="S90" s="105"/>
      <c r="T90" s="105"/>
      <c r="U90" s="105"/>
      <c r="V90" s="105"/>
      <c r="W90" s="105"/>
    </row>
    <row r="91" spans="2:23" x14ac:dyDescent="0.2">
      <c r="B91" s="52" t="s">
        <v>15</v>
      </c>
      <c r="C91" s="105">
        <f>C82*'Financial Statements &amp; Metrics'!$N$100</f>
        <v>59783</v>
      </c>
      <c r="D91" s="105">
        <f>D82*'Assumptions &amp; Drivers'!C$59</f>
        <v>56478.216000000008</v>
      </c>
      <c r="E91" s="105">
        <f>E82*'Assumptions &amp; Drivers'!D$59</f>
        <v>57607.780320000013</v>
      </c>
      <c r="F91" s="105">
        <f>F82*'Assumptions &amp; Drivers'!E$59</f>
        <v>58759.935926400009</v>
      </c>
      <c r="G91" s="105">
        <f>G82*'Assumptions &amp; Drivers'!F$59</f>
        <v>59935.13464492801</v>
      </c>
      <c r="H91" s="105">
        <f>H82*'Assumptions &amp; Drivers'!G$59</f>
        <v>60534.485991377296</v>
      </c>
      <c r="I91" s="105">
        <f>I82*'Assumptions &amp; Drivers'!H$59</f>
        <v>61139.830851291066</v>
      </c>
      <c r="J91" s="105">
        <f>J82*'Assumptions &amp; Drivers'!I$59</f>
        <v>61751.229159803974</v>
      </c>
      <c r="K91" s="105">
        <f>K82*'Assumptions &amp; Drivers'!J$59</f>
        <v>62368.741451402013</v>
      </c>
      <c r="L91" s="105">
        <f>L82*'Assumptions &amp; Drivers'!K$59</f>
        <v>62836.507012287533</v>
      </c>
      <c r="M91" s="105">
        <f>M82*'Assumptions &amp; Drivers'!L$59</f>
        <v>63307.78081487969</v>
      </c>
      <c r="N91" s="105">
        <f>N82*'Assumptions &amp; Drivers'!M$59</f>
        <v>63782.589170991298</v>
      </c>
      <c r="O91" s="105">
        <f>O82*'Assumptions &amp; Drivers'!N$59</f>
        <v>64260.958589773734</v>
      </c>
      <c r="P91" s="105">
        <f>P82*'Assumptions &amp; Drivers'!O$59</f>
        <v>64742.915779197043</v>
      </c>
      <c r="Q91" s="105">
        <f>Q82*'Assumptions &amp; Drivers'!P$59</f>
        <v>65228.48764754102</v>
      </c>
      <c r="R91" s="105">
        <f>R82*'Assumptions &amp; Drivers'!Q$59</f>
        <v>65717.701304897593</v>
      </c>
      <c r="S91" s="105">
        <f>S82*'Assumptions &amp; Drivers'!R$59</f>
        <v>66210.584064684328</v>
      </c>
      <c r="T91" s="105">
        <f>T82*'Assumptions &amp; Drivers'!S$59</f>
        <v>66707.163445169455</v>
      </c>
      <c r="U91" s="105">
        <f>U82*'Assumptions &amp; Drivers'!T$59</f>
        <v>67207.467171008233</v>
      </c>
      <c r="V91" s="105">
        <f>V82*'Assumptions &amp; Drivers'!U$59</f>
        <v>67711.523174790796</v>
      </c>
      <c r="W91" s="105">
        <f>W82*'Assumptions &amp; Drivers'!V$59</f>
        <v>68219.359598601732</v>
      </c>
    </row>
    <row r="92" spans="2:23" x14ac:dyDescent="0.2">
      <c r="B92" s="52" t="s">
        <v>34</v>
      </c>
      <c r="C92" s="105">
        <f>'Financial Statements &amp; Metrics'!$N$71</f>
        <v>27032</v>
      </c>
      <c r="D92" s="105">
        <f>'Assumptions &amp; Drivers'!C$64</f>
        <v>-12090.878380000002</v>
      </c>
      <c r="E92" s="105">
        <f>'Assumptions &amp; Drivers'!D$64</f>
        <v>276.6048314000036</v>
      </c>
      <c r="F92" s="105">
        <f>'Assumptions &amp; Drivers'!E$64</f>
        <v>569.80595268400066</v>
      </c>
      <c r="G92" s="105">
        <f>'Assumptions &amp; Drivers'!F$64</f>
        <v>2135.8324364574837</v>
      </c>
      <c r="H92" s="105">
        <f>'Assumptions &amp; Drivers'!G$64</f>
        <v>317.83364840541617</v>
      </c>
      <c r="I92" s="105">
        <f>'Assumptions &amp; Drivers'!H$64</f>
        <v>-6.3566729681078868</v>
      </c>
      <c r="J92" s="105">
        <f>'Assumptions &amp; Drivers'!I$64</f>
        <v>311.22270851858411</v>
      </c>
      <c r="K92" s="105">
        <f>'Assumptions &amp; Drivers'!J$64</f>
        <v>1997.2717319179937</v>
      </c>
      <c r="L92" s="105">
        <f>'Assumptions &amp; Drivers'!K$64</f>
        <v>258.86824094901385</v>
      </c>
      <c r="M92" s="105">
        <f>'Assumptions &amp; Drivers'!L$64</f>
        <v>-91.803363396480563</v>
      </c>
      <c r="N92" s="105">
        <f>'Assumptions &amp; Drivers'!M$64</f>
        <v>249.67511930088222</v>
      </c>
      <c r="O92" s="105">
        <f>'Assumptions &amp; Drivers'!N$64</f>
        <v>2055.4504196444977</v>
      </c>
      <c r="P92" s="105">
        <f>'Assumptions &amp; Drivers'!O$64</f>
        <v>3.6152477130235638</v>
      </c>
      <c r="Q92" s="105">
        <f>'Assumptions &amp; Drivers'!P$64</f>
        <v>-368.79141920625989</v>
      </c>
      <c r="R92" s="105">
        <f>'Assumptions &amp; Drivers'!Q$64</f>
        <v>-7.3758283841234515</v>
      </c>
      <c r="S92" s="105">
        <f>'Assumptions &amp; Drivers'!R$64</f>
        <v>1869.846253659598</v>
      </c>
      <c r="T92" s="105">
        <f>'Assumptions &amp; Drivers'!S$64</f>
        <v>-91.229500732581073</v>
      </c>
      <c r="U92" s="105">
        <f>'Assumptions &amp; Drivers'!T$64</f>
        <v>-476.6247645361218</v>
      </c>
      <c r="V92" s="105">
        <f>'Assumptions &amp; Drivers'!U$64</f>
        <v>-101.19511278058781</v>
      </c>
      <c r="W92" s="105">
        <f>'Assumptions &amp; Drivers'!V$64</f>
        <v>1833.2497084622446</v>
      </c>
    </row>
    <row r="93" spans="2:23" x14ac:dyDescent="0.2">
      <c r="B93" s="52" t="s">
        <v>17</v>
      </c>
      <c r="C93" s="167">
        <v>100000</v>
      </c>
      <c r="D93" s="105">
        <v>100000</v>
      </c>
      <c r="E93" s="105">
        <v>100000</v>
      </c>
      <c r="F93" s="105">
        <v>100000</v>
      </c>
      <c r="G93" s="105">
        <v>100000</v>
      </c>
      <c r="H93" s="105">
        <v>100000</v>
      </c>
      <c r="I93" s="105">
        <v>100000</v>
      </c>
      <c r="J93" s="105">
        <v>100000</v>
      </c>
      <c r="K93" s="105">
        <v>100000</v>
      </c>
      <c r="L93" s="105">
        <v>100000</v>
      </c>
      <c r="M93" s="105">
        <v>100000</v>
      </c>
      <c r="N93" s="105">
        <v>100000</v>
      </c>
      <c r="O93" s="105">
        <v>100000</v>
      </c>
      <c r="P93" s="105">
        <v>100000</v>
      </c>
      <c r="Q93" s="105">
        <v>100000</v>
      </c>
      <c r="R93" s="105">
        <v>100000</v>
      </c>
      <c r="S93" s="105">
        <v>100000</v>
      </c>
      <c r="T93" s="105">
        <v>100000</v>
      </c>
      <c r="U93" s="105">
        <v>100000</v>
      </c>
      <c r="V93" s="105">
        <v>100000</v>
      </c>
      <c r="W93" s="105">
        <v>100000</v>
      </c>
    </row>
    <row r="94" spans="2:23" x14ac:dyDescent="0.2">
      <c r="B94" s="52"/>
      <c r="C94" s="83"/>
      <c r="D94" s="83"/>
      <c r="E94" s="83"/>
      <c r="F94" s="83"/>
      <c r="G94" s="83"/>
      <c r="H94" s="83"/>
      <c r="I94" s="83"/>
      <c r="J94" s="83"/>
      <c r="K94" s="83"/>
      <c r="L94" s="83"/>
      <c r="M94" s="83"/>
      <c r="N94" s="83"/>
      <c r="O94" s="83"/>
      <c r="P94" s="83"/>
      <c r="Q94" s="83"/>
      <c r="R94" s="83"/>
      <c r="S94" s="83"/>
      <c r="T94" s="83"/>
      <c r="U94" s="83"/>
      <c r="V94" s="83"/>
      <c r="W94" s="83"/>
    </row>
    <row r="95" spans="2:23" x14ac:dyDescent="0.2">
      <c r="B95" s="52" t="s">
        <v>72</v>
      </c>
      <c r="C95" s="83">
        <f>C89+C91-C92-C93</f>
        <v>-19792.246363114726</v>
      </c>
      <c r="D95" s="83">
        <f t="shared" ref="D95:W95" si="64">D89+D91-D92-D93</f>
        <v>15684.526380000025</v>
      </c>
      <c r="E95" s="83">
        <f t="shared" si="64"/>
        <v>5388.9161286000162</v>
      </c>
      <c r="F95" s="83">
        <f t="shared" si="64"/>
        <v>7209.0254265160474</v>
      </c>
      <c r="G95" s="83">
        <f t="shared" si="64"/>
        <v>7798.5755703265895</v>
      </c>
      <c r="H95" s="83">
        <f t="shared" si="64"/>
        <v>11593.591713615577</v>
      </c>
      <c r="I95" s="83">
        <f t="shared" si="64"/>
        <v>13036.896288609336</v>
      </c>
      <c r="J95" s="83">
        <f t="shared" si="64"/>
        <v>13849.622303279059</v>
      </c>
      <c r="K95" s="83">
        <f t="shared" si="64"/>
        <v>13305.18172999761</v>
      </c>
      <c r="L95" s="83">
        <f t="shared" si="64"/>
        <v>15908.353621930975</v>
      </c>
      <c r="M95" s="83">
        <f t="shared" si="64"/>
        <v>17130.279390248077</v>
      </c>
      <c r="N95" s="83">
        <f t="shared" si="64"/>
        <v>17666.589477752117</v>
      </c>
      <c r="O95" s="83">
        <f t="shared" si="64"/>
        <v>16745.186161886406</v>
      </c>
      <c r="P95" s="83">
        <f t="shared" si="64"/>
        <v>19688.026108179401</v>
      </c>
      <c r="Q95" s="83">
        <f t="shared" si="64"/>
        <v>20958.120085267888</v>
      </c>
      <c r="R95" s="83">
        <f t="shared" si="64"/>
        <v>21501.124459441198</v>
      </c>
      <c r="S95" s="83">
        <f t="shared" si="64"/>
        <v>20535.105492130358</v>
      </c>
      <c r="T95" s="83">
        <f t="shared" si="64"/>
        <v>23414.218384616019</v>
      </c>
      <c r="U95" s="83">
        <f t="shared" si="64"/>
        <v>24724.536065048742</v>
      </c>
      <c r="V95" s="83">
        <f t="shared" si="64"/>
        <v>25280.96574804699</v>
      </c>
      <c r="W95" s="83">
        <f t="shared" si="64"/>
        <v>24285.369206568634</v>
      </c>
    </row>
    <row r="96" spans="2:23" x14ac:dyDescent="0.2">
      <c r="B96" s="52" t="s">
        <v>79</v>
      </c>
      <c r="D96" s="83">
        <f>D95/(1+'Assumptions &amp; Drivers'!$D$3)^1</f>
        <v>15304.795495851038</v>
      </c>
      <c r="E96" s="83">
        <f>E95/(1+'Assumptions &amp; Drivers'!$D$3)^2</f>
        <v>5131.1376834617604</v>
      </c>
      <c r="F96" s="83">
        <f>F95/(1+'Assumptions &amp; Drivers'!$D$3)^3</f>
        <v>6697.9966033943701</v>
      </c>
      <c r="G96" s="83">
        <f>G95/(1+'Assumptions &amp; Drivers'!$D$3)^4</f>
        <v>7070.3314327530252</v>
      </c>
      <c r="H96" s="83">
        <f>H95/(1+'Assumptions &amp; Drivers'!$D$3)^5</f>
        <v>10256.486468621615</v>
      </c>
      <c r="I96" s="83">
        <f>I95/(1+'Assumptions &amp; Drivers'!$D$3)^6</f>
        <v>11254.10446093642</v>
      </c>
      <c r="J96" s="83">
        <f>J95/(1+'Assumptions &amp; Drivers'!$D$3)^7</f>
        <v>11666.236681436552</v>
      </c>
      <c r="K96" s="83">
        <f>K95/(1+'Assumptions &amp; Drivers'!$D$3)^8</f>
        <v>10936.284155384023</v>
      </c>
      <c r="L96" s="83">
        <f>L95/(1+'Assumptions &amp; Drivers'!$D$3)^9</f>
        <v>12759.40237080931</v>
      </c>
      <c r="M96" s="83">
        <f>M95/(1+'Assumptions &amp; Drivers'!$D$3)^10</f>
        <v>13406.81649833496</v>
      </c>
      <c r="N96" s="83">
        <f>N95/(1+'Assumptions &amp; Drivers'!$D$3)^11</f>
        <v>13491.805079043112</v>
      </c>
      <c r="O96" s="83">
        <f>O95/(1+'Assumptions &amp; Drivers'!$D$3)^12</f>
        <v>12478.530440357992</v>
      </c>
      <c r="P96" s="83">
        <f>P95/(1+'Assumptions &amp; Drivers'!$D$3)^13</f>
        <v>14316.331997590567</v>
      </c>
      <c r="Q96" s="83">
        <f>Q95/(1+'Assumptions &amp; Drivers'!$D$3)^14</f>
        <v>14870.926629428679</v>
      </c>
      <c r="R96" s="83">
        <f>R95/(1+'Assumptions &amp; Drivers'!$D$3)^15</f>
        <v>14886.856479480468</v>
      </c>
      <c r="S96" s="83">
        <f>S95/(1+'Assumptions &amp; Drivers'!$D$3)^16</f>
        <v>13873.782714515643</v>
      </c>
      <c r="T96" s="83">
        <f>T95/(1+'Assumptions &amp; Drivers'!$D$3)^17</f>
        <v>15435.963282135508</v>
      </c>
      <c r="U96" s="83">
        <f>U95/(1+'Assumptions &amp; Drivers'!$D$3)^18</f>
        <v>15905.171092764822</v>
      </c>
      <c r="V96" s="83">
        <f>V95/(1+'Assumptions &amp; Drivers'!$D$3)^19</f>
        <v>15869.380602504101</v>
      </c>
      <c r="W96" s="83">
        <f>W95/(1+'Assumptions &amp; Drivers'!$D$3)^20</f>
        <v>14875.348465298783</v>
      </c>
    </row>
    <row r="97" spans="2:23" x14ac:dyDescent="0.2">
      <c r="B97" s="144" t="s">
        <v>80</v>
      </c>
      <c r="C97" s="83">
        <f>SUM(D96:W96)</f>
        <v>250487.68863410276</v>
      </c>
      <c r="D97" s="83"/>
      <c r="E97" s="83"/>
      <c r="F97" s="83"/>
      <c r="G97" s="83"/>
      <c r="H97" s="83"/>
      <c r="I97" s="83"/>
      <c r="J97" s="83"/>
      <c r="K97" s="83"/>
      <c r="L97" s="83"/>
      <c r="M97" s="83"/>
      <c r="N97" s="83"/>
      <c r="O97" s="83"/>
      <c r="P97" s="83"/>
      <c r="Q97" s="83"/>
      <c r="R97" s="83"/>
      <c r="S97" s="83"/>
      <c r="T97" s="83"/>
      <c r="U97" s="83"/>
      <c r="V97" s="83"/>
      <c r="W97" s="83"/>
    </row>
    <row r="98" spans="2:23" x14ac:dyDescent="0.2">
      <c r="B98" s="52"/>
      <c r="C98" s="83"/>
      <c r="D98" s="83"/>
      <c r="E98" s="83"/>
      <c r="F98" s="83"/>
      <c r="G98" s="83"/>
      <c r="H98" s="83"/>
      <c r="I98" s="83"/>
      <c r="J98" s="83"/>
      <c r="K98" s="83"/>
      <c r="L98" s="83"/>
      <c r="M98" s="83"/>
      <c r="N98" s="83"/>
      <c r="O98" s="83"/>
      <c r="P98" s="83"/>
      <c r="Q98" s="83"/>
      <c r="R98" s="83"/>
      <c r="S98" s="83"/>
      <c r="T98" s="83"/>
      <c r="U98" s="83"/>
      <c r="V98" s="83"/>
      <c r="W98" s="83"/>
    </row>
    <row r="99" spans="2:23" x14ac:dyDescent="0.2">
      <c r="B99" s="144" t="s">
        <v>81</v>
      </c>
      <c r="C99" s="83"/>
      <c r="D99" s="83"/>
      <c r="E99" s="83"/>
      <c r="F99" s="83"/>
      <c r="G99" s="83"/>
      <c r="H99" s="83"/>
      <c r="I99" s="83"/>
      <c r="J99" s="83"/>
      <c r="K99" s="83"/>
      <c r="L99" s="83"/>
      <c r="M99" s="83"/>
      <c r="N99" s="83"/>
      <c r="O99" s="83"/>
      <c r="P99" s="83"/>
      <c r="Q99" s="83"/>
      <c r="R99" s="83"/>
      <c r="S99" s="83"/>
      <c r="T99" s="83"/>
      <c r="U99" s="83"/>
      <c r="V99" s="83"/>
      <c r="W99" s="83"/>
    </row>
    <row r="100" spans="2:23" x14ac:dyDescent="0.2">
      <c r="B100" s="52" t="s">
        <v>82</v>
      </c>
      <c r="C100" s="14">
        <f>'Assumptions &amp; Drivers'!$D$4</f>
        <v>7.4170717777328754E-3</v>
      </c>
      <c r="D100" s="83"/>
      <c r="E100" s="83"/>
      <c r="F100" s="83"/>
      <c r="G100" s="83"/>
      <c r="H100" s="83"/>
      <c r="I100" s="83"/>
      <c r="J100" s="83"/>
      <c r="K100" s="83"/>
      <c r="L100" s="83"/>
      <c r="M100" s="83"/>
      <c r="N100" s="83"/>
      <c r="O100" s="83"/>
      <c r="P100" s="83"/>
      <c r="Q100" s="83"/>
      <c r="R100" s="83"/>
      <c r="S100" s="83"/>
      <c r="T100" s="83"/>
      <c r="U100" s="83"/>
      <c r="V100" s="83"/>
      <c r="W100" s="83"/>
    </row>
    <row r="101" spans="2:23" x14ac:dyDescent="0.2">
      <c r="B101" s="52" t="s">
        <v>83</v>
      </c>
      <c r="C101" s="83">
        <f>W95*(1+C100)</f>
        <v>24465.495533122496</v>
      </c>
      <c r="D101" s="83"/>
      <c r="E101" s="83"/>
      <c r="F101" s="83"/>
      <c r="G101" s="83"/>
      <c r="H101" s="83"/>
      <c r="I101" s="83"/>
      <c r="J101" s="83"/>
      <c r="K101" s="83"/>
      <c r="L101" s="83"/>
      <c r="M101" s="83"/>
      <c r="N101" s="83"/>
      <c r="O101" s="83"/>
      <c r="P101" s="83"/>
      <c r="Q101" s="83"/>
      <c r="R101" s="83"/>
      <c r="S101" s="83"/>
      <c r="T101" s="83"/>
      <c r="U101" s="83"/>
      <c r="V101" s="83"/>
      <c r="W101" s="83"/>
    </row>
    <row r="102" spans="2:23" x14ac:dyDescent="0.2">
      <c r="B102" s="52" t="s">
        <v>84</v>
      </c>
      <c r="C102" s="9">
        <f>C101/('Assumptions &amp; Drivers'!$D$3-'Assumptions &amp; Drivers'!$D$4)</f>
        <v>1406534.7453327179</v>
      </c>
      <c r="D102" s="83"/>
      <c r="E102" s="83"/>
      <c r="F102" s="83"/>
      <c r="G102" s="83"/>
      <c r="H102" s="83"/>
      <c r="I102" s="83"/>
      <c r="J102" s="83"/>
      <c r="K102" s="83"/>
      <c r="L102" s="83"/>
      <c r="M102" s="83"/>
      <c r="N102" s="83"/>
      <c r="O102" s="83"/>
      <c r="P102" s="83"/>
      <c r="Q102" s="83"/>
      <c r="R102" s="83"/>
      <c r="S102" s="83"/>
      <c r="T102" s="83"/>
      <c r="U102" s="83"/>
      <c r="V102" s="83"/>
      <c r="W102" s="83"/>
    </row>
    <row r="103" spans="2:23" x14ac:dyDescent="0.2">
      <c r="B103" s="52"/>
      <c r="C103" s="83"/>
      <c r="D103" s="83"/>
      <c r="E103" s="83"/>
      <c r="F103" s="83"/>
      <c r="G103" s="83"/>
      <c r="H103" s="83"/>
      <c r="I103" s="83"/>
      <c r="J103" s="83"/>
      <c r="K103" s="83"/>
      <c r="L103" s="83"/>
      <c r="M103" s="83"/>
      <c r="N103" s="83"/>
      <c r="O103" s="83"/>
      <c r="P103" s="83"/>
      <c r="Q103" s="83"/>
      <c r="R103" s="83"/>
      <c r="S103" s="83"/>
      <c r="T103" s="83"/>
      <c r="U103" s="83"/>
      <c r="V103" s="83"/>
      <c r="W103" s="83"/>
    </row>
    <row r="104" spans="2:23" x14ac:dyDescent="0.2">
      <c r="B104" s="144" t="s">
        <v>85</v>
      </c>
      <c r="C104" s="83">
        <f>C102+C97</f>
        <v>1657022.4339668206</v>
      </c>
      <c r="D104" s="83"/>
      <c r="E104" s="83"/>
      <c r="F104" s="83"/>
      <c r="G104" s="83"/>
      <c r="H104" s="83"/>
      <c r="I104" s="83"/>
      <c r="J104" s="83"/>
      <c r="K104" s="83"/>
      <c r="L104" s="83"/>
      <c r="M104" s="83"/>
      <c r="N104" s="83"/>
      <c r="O104" s="83"/>
      <c r="P104" s="83"/>
      <c r="Q104" s="83"/>
      <c r="R104" s="83"/>
      <c r="S104" s="83"/>
      <c r="T104" s="83"/>
      <c r="U104" s="83"/>
      <c r="V104" s="83"/>
      <c r="W104" s="83"/>
    </row>
  </sheetData>
  <mergeCells count="3">
    <mergeCell ref="B4:W4"/>
    <mergeCell ref="B38:W38"/>
    <mergeCell ref="B72:W72"/>
  </mergeCells>
  <phoneticPr fontId="15" type="noConversion"/>
  <conditionalFormatting sqref="B4">
    <cfRule type="containsText" dxfId="8" priority="16" operator="containsText" text="Upside">
      <formula>NOT(ISERROR(SEARCH("Upside",B4)))</formula>
    </cfRule>
    <cfRule type="containsText" dxfId="7" priority="17" operator="containsText" text="Downside">
      <formula>NOT(ISERROR(SEARCH("Downside",B4)))</formula>
    </cfRule>
    <cfRule type="containsText" dxfId="6" priority="18" operator="containsText" text="Base">
      <formula>NOT(ISERROR(SEARCH("Base",B4)))</formula>
    </cfRule>
  </conditionalFormatting>
  <conditionalFormatting sqref="B38">
    <cfRule type="containsText" dxfId="5" priority="13" operator="containsText" text="Upside">
      <formula>NOT(ISERROR(SEARCH("Upside",B38)))</formula>
    </cfRule>
    <cfRule type="containsText" dxfId="4" priority="14" operator="containsText" text="Downside">
      <formula>NOT(ISERROR(SEARCH("Downside",B38)))</formula>
    </cfRule>
    <cfRule type="containsText" dxfId="3" priority="15" operator="containsText" text="Base">
      <formula>NOT(ISERROR(SEARCH("Base",B38)))</formula>
    </cfRule>
  </conditionalFormatting>
  <conditionalFormatting sqref="B72">
    <cfRule type="containsText" dxfId="2" priority="10" operator="containsText" text="Upside">
      <formula>NOT(ISERROR(SEARCH("Upside",B72)))</formula>
    </cfRule>
    <cfRule type="containsText" dxfId="1" priority="11" operator="containsText" text="Downside">
      <formula>NOT(ISERROR(SEARCH("Downside",B72)))</formula>
    </cfRule>
    <cfRule type="containsText" dxfId="0" priority="12" operator="containsText" text="Base">
      <formula>NOT(ISERROR(SEARCH("Base",B72)))</formula>
    </cfRule>
  </conditionalFormatting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3C038A-B9B5-7A49-9456-890063831CFD}">
  <dimension ref="B1:E21"/>
  <sheetViews>
    <sheetView showGridLines="0" zoomScale="130" zoomScaleNormal="130" workbookViewId="0"/>
  </sheetViews>
  <sheetFormatPr baseColWidth="10" defaultColWidth="11.5" defaultRowHeight="15" x14ac:dyDescent="0.2"/>
  <cols>
    <col min="1" max="1" width="1.83203125" customWidth="1"/>
    <col min="4" max="4" width="13.6640625" bestFit="1" customWidth="1"/>
    <col min="5" max="5" width="17.33203125" bestFit="1" customWidth="1"/>
  </cols>
  <sheetData>
    <row r="1" spans="2:5" x14ac:dyDescent="0.2">
      <c r="B1" s="7" t="s">
        <v>537</v>
      </c>
    </row>
    <row r="2" spans="2:5" x14ac:dyDescent="0.2">
      <c r="B2" s="7"/>
    </row>
    <row r="3" spans="2:5" ht="21" x14ac:dyDescent="0.25">
      <c r="B3" s="6" t="s">
        <v>86</v>
      </c>
    </row>
    <row r="5" spans="2:5" x14ac:dyDescent="0.2">
      <c r="B5" s="97" t="s">
        <v>87</v>
      </c>
      <c r="C5" s="93"/>
      <c r="D5" s="93"/>
      <c r="E5" s="93"/>
    </row>
    <row r="6" spans="2:5" x14ac:dyDescent="0.2">
      <c r="D6" s="173" t="s">
        <v>88</v>
      </c>
      <c r="E6" s="173" t="s">
        <v>89</v>
      </c>
    </row>
    <row r="7" spans="2:5" x14ac:dyDescent="0.2">
      <c r="B7" s="1" t="s">
        <v>90</v>
      </c>
      <c r="D7" s="94">
        <v>6.5699999999999995E-2</v>
      </c>
      <c r="E7" s="10">
        <v>194527</v>
      </c>
    </row>
    <row r="8" spans="2:5" x14ac:dyDescent="0.2">
      <c r="B8" s="1" t="s">
        <v>91</v>
      </c>
      <c r="D8" s="94">
        <v>0.215</v>
      </c>
    </row>
    <row r="9" spans="2:5" ht="16" thickBot="1" x14ac:dyDescent="0.25">
      <c r="B9" s="2" t="s">
        <v>92</v>
      </c>
      <c r="D9" s="95">
        <f>D7*(1-D8)</f>
        <v>5.1574499999999995E-2</v>
      </c>
    </row>
    <row r="10" spans="2:5" ht="16" thickTop="1" x14ac:dyDescent="0.2"/>
    <row r="11" spans="2:5" x14ac:dyDescent="0.2">
      <c r="B11" s="97" t="s">
        <v>93</v>
      </c>
      <c r="C11" s="93"/>
      <c r="D11" s="93"/>
      <c r="E11" s="93"/>
    </row>
    <row r="12" spans="2:5" x14ac:dyDescent="0.2">
      <c r="B12" s="1" t="s">
        <v>94</v>
      </c>
      <c r="D12" s="17">
        <v>4.3299999999999998E-2</v>
      </c>
      <c r="E12" t="s">
        <v>95</v>
      </c>
    </row>
    <row r="13" spans="2:5" x14ac:dyDescent="0.2">
      <c r="B13" s="1" t="s">
        <v>96</v>
      </c>
      <c r="D13" s="17">
        <v>4.3299999999999998E-2</v>
      </c>
      <c r="E13" t="s">
        <v>97</v>
      </c>
    </row>
    <row r="14" spans="2:5" x14ac:dyDescent="0.2">
      <c r="B14" s="1" t="s">
        <v>98</v>
      </c>
      <c r="D14">
        <v>1.42</v>
      </c>
      <c r="E14" t="s">
        <v>99</v>
      </c>
    </row>
    <row r="15" spans="2:5" ht="16" thickBot="1" x14ac:dyDescent="0.25">
      <c r="B15" s="2" t="s">
        <v>93</v>
      </c>
      <c r="D15" s="95">
        <f>D12+(D14*D13)</f>
        <v>0.10478599999999999</v>
      </c>
    </row>
    <row r="16" spans="2:5" ht="16" thickTop="1" x14ac:dyDescent="0.2"/>
    <row r="17" spans="2:5" x14ac:dyDescent="0.2">
      <c r="C17" s="173" t="s">
        <v>100</v>
      </c>
      <c r="D17" s="173" t="s">
        <v>101</v>
      </c>
      <c r="E17" s="173" t="s">
        <v>102</v>
      </c>
    </row>
    <row r="18" spans="2:5" x14ac:dyDescent="0.2">
      <c r="B18" t="s">
        <v>103</v>
      </c>
      <c r="C18" s="14">
        <f>D18/SUM($D$18:$D$19)</f>
        <v>0.97440556895410924</v>
      </c>
      <c r="D18" s="9">
        <f>'DCF Summary'!C1*'Financial Statements &amp; Metrics'!N23</f>
        <v>7405837.2999999998</v>
      </c>
      <c r="E18" s="17">
        <f>D15</f>
        <v>0.10478599999999999</v>
      </c>
    </row>
    <row r="19" spans="2:5" x14ac:dyDescent="0.2">
      <c r="B19" s="85" t="s">
        <v>38</v>
      </c>
      <c r="C19" s="15">
        <f>D19/SUM($D$18:$D$19)</f>
        <v>2.5594431045890789E-2</v>
      </c>
      <c r="D19" s="110">
        <f>'Financial Statements &amp; Metrics'!N50</f>
        <v>194527</v>
      </c>
      <c r="E19" s="18">
        <f>D9</f>
        <v>5.1574499999999995E-2</v>
      </c>
    </row>
    <row r="20" spans="2:5" ht="16" thickBot="1" x14ac:dyDescent="0.25">
      <c r="B20" s="109" t="s">
        <v>104</v>
      </c>
      <c r="C20" s="87"/>
      <c r="D20" s="87"/>
      <c r="E20" s="88">
        <f>SUMPRODUCT(E18:E19,C18:C19)</f>
        <v>0.10342408193240157</v>
      </c>
    </row>
    <row r="21" spans="2:5" ht="16" thickTop="1" x14ac:dyDescent="0.2"/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8846A5-4B88-344A-8352-039FA018D88C}">
  <dimension ref="B1:W122"/>
  <sheetViews>
    <sheetView showGridLines="0" zoomScale="130" zoomScaleNormal="130" workbookViewId="0">
      <selection activeCell="N104" sqref="N104"/>
    </sheetView>
  </sheetViews>
  <sheetFormatPr baseColWidth="10" defaultColWidth="11.5" defaultRowHeight="15" x14ac:dyDescent="0.2"/>
  <cols>
    <col min="1" max="1" width="1.83203125" customWidth="1"/>
    <col min="2" max="2" width="43.5" bestFit="1" customWidth="1"/>
    <col min="3" max="14" width="13.6640625" bestFit="1" customWidth="1"/>
    <col min="15" max="15" width="2.83203125" customWidth="1"/>
    <col min="16" max="16" width="9.1640625" bestFit="1" customWidth="1"/>
  </cols>
  <sheetData>
    <row r="1" spans="2:23" ht="21" x14ac:dyDescent="0.25">
      <c r="B1" s="6" t="s">
        <v>105</v>
      </c>
    </row>
    <row r="2" spans="2:23" x14ac:dyDescent="0.2">
      <c r="B2" s="7" t="s">
        <v>35</v>
      </c>
    </row>
    <row r="3" spans="2:23" x14ac:dyDescent="0.2">
      <c r="C3" s="23" t="s">
        <v>106</v>
      </c>
      <c r="D3" s="23" t="s">
        <v>107</v>
      </c>
      <c r="E3" s="23" t="s">
        <v>108</v>
      </c>
      <c r="F3" s="23" t="s">
        <v>109</v>
      </c>
      <c r="G3" s="23" t="s">
        <v>110</v>
      </c>
      <c r="H3" s="23" t="s">
        <v>111</v>
      </c>
      <c r="I3" s="23" t="s">
        <v>112</v>
      </c>
      <c r="J3" s="23" t="s">
        <v>113</v>
      </c>
      <c r="K3" s="23" t="s">
        <v>114</v>
      </c>
      <c r="L3" s="23" t="s">
        <v>115</v>
      </c>
      <c r="M3" s="23" t="s">
        <v>116</v>
      </c>
      <c r="N3" s="23" t="s">
        <v>47</v>
      </c>
      <c r="P3" s="23" t="s">
        <v>117</v>
      </c>
    </row>
    <row r="4" spans="2:23" x14ac:dyDescent="0.2">
      <c r="B4" t="s">
        <v>118</v>
      </c>
      <c r="C4" s="22">
        <v>166</v>
      </c>
      <c r="D4" s="22">
        <v>174</v>
      </c>
      <c r="E4" s="22">
        <v>178</v>
      </c>
      <c r="F4" s="22">
        <v>191</v>
      </c>
      <c r="G4" s="22">
        <v>194</v>
      </c>
      <c r="H4" s="22">
        <v>203</v>
      </c>
      <c r="I4" s="22">
        <v>207</v>
      </c>
      <c r="J4" s="22">
        <v>221</v>
      </c>
      <c r="K4" s="22">
        <v>225</v>
      </c>
      <c r="L4" s="22">
        <v>230</v>
      </c>
      <c r="M4" s="22">
        <v>241</v>
      </c>
      <c r="N4" s="22">
        <v>251</v>
      </c>
    </row>
    <row r="5" spans="2:23" x14ac:dyDescent="0.2">
      <c r="B5" t="s">
        <v>119</v>
      </c>
      <c r="C5" s="22"/>
      <c r="D5" s="91">
        <f>D4-C4</f>
        <v>8</v>
      </c>
      <c r="E5" s="91">
        <f t="shared" ref="E5:N5" si="0">E4-D4</f>
        <v>4</v>
      </c>
      <c r="F5" s="91">
        <f t="shared" si="0"/>
        <v>13</v>
      </c>
      <c r="G5" s="91">
        <f t="shared" si="0"/>
        <v>3</v>
      </c>
      <c r="H5" s="91">
        <f t="shared" si="0"/>
        <v>9</v>
      </c>
      <c r="I5" s="91">
        <f t="shared" si="0"/>
        <v>4</v>
      </c>
      <c r="J5" s="91">
        <f t="shared" si="0"/>
        <v>14</v>
      </c>
      <c r="K5" s="91">
        <f t="shared" si="0"/>
        <v>4</v>
      </c>
      <c r="L5" s="91">
        <f t="shared" si="0"/>
        <v>5</v>
      </c>
      <c r="M5" s="91">
        <f t="shared" si="0"/>
        <v>11</v>
      </c>
      <c r="N5" s="91">
        <f t="shared" si="0"/>
        <v>10</v>
      </c>
      <c r="P5" s="92">
        <f>AVERAGE(D5:N5)</f>
        <v>7.7272727272727275</v>
      </c>
    </row>
    <row r="6" spans="2:23" x14ac:dyDescent="0.2">
      <c r="B6" t="s">
        <v>120</v>
      </c>
      <c r="C6" s="68">
        <f t="shared" ref="C6:N6" si="1">C10/C4</f>
        <v>6197.1927710843365</v>
      </c>
      <c r="D6" s="68">
        <f t="shared" si="1"/>
        <v>6263.4827586206893</v>
      </c>
      <c r="E6" s="68">
        <f t="shared" si="1"/>
        <v>6167.5505617977524</v>
      </c>
      <c r="F6" s="68">
        <f t="shared" si="1"/>
        <v>5487.2722513089002</v>
      </c>
      <c r="G6" s="68">
        <f t="shared" si="1"/>
        <v>5783.7731958762888</v>
      </c>
      <c r="H6" s="68">
        <f t="shared" si="1"/>
        <v>5595.5615763546803</v>
      </c>
      <c r="I6" s="68">
        <f t="shared" si="1"/>
        <v>5351.7487922705313</v>
      </c>
      <c r="J6" s="68">
        <f t="shared" si="1"/>
        <v>4742.6289592760186</v>
      </c>
      <c r="K6" s="68">
        <f t="shared" si="1"/>
        <v>4876.84</v>
      </c>
      <c r="L6" s="68">
        <f t="shared" si="1"/>
        <v>4926.6913043478262</v>
      </c>
      <c r="M6" s="68">
        <f t="shared" si="1"/>
        <v>4638.6970954356848</v>
      </c>
      <c r="N6" s="68">
        <f t="shared" si="1"/>
        <v>4412.0159362549803</v>
      </c>
    </row>
    <row r="7" spans="2:23" x14ac:dyDescent="0.2">
      <c r="B7" t="s">
        <v>121</v>
      </c>
      <c r="C7" s="68"/>
      <c r="D7" s="14">
        <f>(D6/C6)-1</f>
        <v>1.0696776747958658E-2</v>
      </c>
      <c r="E7" s="14">
        <f t="shared" ref="E7:N7" si="2">(E6/D6)-1</f>
        <v>-1.5316110943372707E-2</v>
      </c>
      <c r="F7" s="14">
        <f t="shared" si="2"/>
        <v>-0.11029959198106043</v>
      </c>
      <c r="G7" s="14">
        <f t="shared" si="2"/>
        <v>5.4034305386736259E-2</v>
      </c>
      <c r="H7" s="14">
        <f t="shared" si="2"/>
        <v>-3.2541320889933889E-2</v>
      </c>
      <c r="I7" s="14">
        <f t="shared" si="2"/>
        <v>-4.3572531685547977E-2</v>
      </c>
      <c r="J7" s="14">
        <f t="shared" si="2"/>
        <v>-0.11381697023489923</v>
      </c>
      <c r="K7" s="14">
        <f t="shared" si="2"/>
        <v>2.8298870073207194E-2</v>
      </c>
      <c r="L7" s="14">
        <f t="shared" si="2"/>
        <v>1.0222050415397366E-2</v>
      </c>
      <c r="M7" s="14">
        <f t="shared" si="2"/>
        <v>-5.8455907042112676E-2</v>
      </c>
      <c r="N7" s="14">
        <f t="shared" si="2"/>
        <v>-4.8867419992512762E-2</v>
      </c>
      <c r="P7" s="69">
        <f>AVERAGE(D7:N7)</f>
        <v>-2.9056168195103652E-2</v>
      </c>
    </row>
    <row r="9" spans="2:23" ht="21" x14ac:dyDescent="0.25">
      <c r="B9" s="6" t="s">
        <v>122</v>
      </c>
      <c r="C9" s="23" t="s">
        <v>106</v>
      </c>
      <c r="D9" s="23" t="s">
        <v>107</v>
      </c>
      <c r="E9" s="23" t="s">
        <v>108</v>
      </c>
      <c r="F9" s="23" t="s">
        <v>109</v>
      </c>
      <c r="G9" s="23" t="s">
        <v>110</v>
      </c>
      <c r="H9" s="23" t="s">
        <v>111</v>
      </c>
      <c r="I9" s="23" t="s">
        <v>112</v>
      </c>
      <c r="J9" s="23" t="s">
        <v>113</v>
      </c>
      <c r="K9" s="23" t="s">
        <v>114</v>
      </c>
      <c r="L9" s="23" t="s">
        <v>115</v>
      </c>
      <c r="M9" s="23" t="s">
        <v>116</v>
      </c>
      <c r="N9" s="23" t="s">
        <v>47</v>
      </c>
      <c r="O9" s="4"/>
      <c r="P9" s="4"/>
      <c r="Q9" s="4"/>
      <c r="R9" s="4"/>
      <c r="S9" s="4"/>
      <c r="T9" s="4"/>
      <c r="U9" s="4"/>
      <c r="V9" s="4"/>
      <c r="W9" s="4"/>
    </row>
    <row r="10" spans="2:23" x14ac:dyDescent="0.2">
      <c r="B10" t="s">
        <v>68</v>
      </c>
      <c r="C10" s="10">
        <v>1028733.9999999999</v>
      </c>
      <c r="D10" s="10">
        <v>1089846</v>
      </c>
      <c r="E10" s="10">
        <v>1097824</v>
      </c>
      <c r="F10" s="10">
        <v>1048069</v>
      </c>
      <c r="G10" s="10">
        <v>1122052</v>
      </c>
      <c r="H10" s="10">
        <v>1135899</v>
      </c>
      <c r="I10" s="10">
        <v>1107812</v>
      </c>
      <c r="J10" s="10">
        <v>1048121.0000000001</v>
      </c>
      <c r="K10" s="10">
        <v>1097289</v>
      </c>
      <c r="L10" s="10">
        <v>1133139</v>
      </c>
      <c r="M10" s="10">
        <v>1117926</v>
      </c>
      <c r="N10" s="10">
        <v>1107416</v>
      </c>
    </row>
    <row r="11" spans="2:23" x14ac:dyDescent="0.2">
      <c r="B11" s="1" t="s">
        <v>123</v>
      </c>
      <c r="C11" s="24">
        <v>620676</v>
      </c>
      <c r="D11" s="24">
        <v>653564</v>
      </c>
      <c r="E11" s="24">
        <v>650349</v>
      </c>
      <c r="F11" s="24">
        <v>612168</v>
      </c>
      <c r="G11" s="24">
        <v>652934</v>
      </c>
      <c r="H11" s="24">
        <v>656266</v>
      </c>
      <c r="I11" s="24">
        <v>640357</v>
      </c>
      <c r="J11" s="24">
        <v>605979</v>
      </c>
      <c r="K11" s="24">
        <v>627263</v>
      </c>
      <c r="L11" s="24">
        <v>642105</v>
      </c>
      <c r="M11" s="24">
        <v>632056</v>
      </c>
      <c r="N11" s="24">
        <v>626095</v>
      </c>
    </row>
    <row r="12" spans="2:23" x14ac:dyDescent="0.2">
      <c r="B12" s="2" t="s">
        <v>75</v>
      </c>
      <c r="C12" s="25">
        <v>408058</v>
      </c>
      <c r="D12" s="25">
        <v>436282</v>
      </c>
      <c r="E12" s="25">
        <v>447475</v>
      </c>
      <c r="F12" s="25">
        <v>435901</v>
      </c>
      <c r="G12" s="25">
        <v>469118</v>
      </c>
      <c r="H12" s="25">
        <v>479633</v>
      </c>
      <c r="I12" s="25">
        <v>467455</v>
      </c>
      <c r="J12" s="25">
        <v>442142</v>
      </c>
      <c r="K12" s="25">
        <v>470026</v>
      </c>
      <c r="L12" s="25">
        <v>491034</v>
      </c>
      <c r="M12" s="25">
        <v>485870</v>
      </c>
      <c r="N12" s="25">
        <v>481321</v>
      </c>
    </row>
    <row r="13" spans="2:23" x14ac:dyDescent="0.2">
      <c r="B13" s="1" t="s">
        <v>124</v>
      </c>
      <c r="C13" s="25">
        <v>314086</v>
      </c>
      <c r="D13" s="25">
        <v>329872</v>
      </c>
      <c r="E13" s="25">
        <v>345818</v>
      </c>
      <c r="F13" s="25">
        <v>341180</v>
      </c>
      <c r="G13" s="25">
        <v>373602</v>
      </c>
      <c r="H13" s="25">
        <v>384659</v>
      </c>
      <c r="I13" s="25">
        <v>382683</v>
      </c>
      <c r="J13" s="25">
        <v>395976</v>
      </c>
      <c r="K13" s="25">
        <v>410715</v>
      </c>
      <c r="L13" s="25">
        <v>419706</v>
      </c>
      <c r="M13" s="25">
        <v>419553</v>
      </c>
      <c r="N13" s="25">
        <v>422101</v>
      </c>
    </row>
    <row r="14" spans="2:23" x14ac:dyDescent="0.2">
      <c r="B14" s="1" t="s">
        <v>125</v>
      </c>
      <c r="C14" s="25">
        <v>249500</v>
      </c>
      <c r="D14" s="25">
        <v>268202</v>
      </c>
      <c r="E14" s="25">
        <v>280735</v>
      </c>
      <c r="F14" s="25">
        <v>280029</v>
      </c>
      <c r="G14" s="25">
        <v>303671</v>
      </c>
      <c r="H14" s="25">
        <v>311406</v>
      </c>
      <c r="I14" s="25">
        <v>308581</v>
      </c>
      <c r="J14" s="25">
        <v>315567</v>
      </c>
      <c r="K14" s="25">
        <v>334345</v>
      </c>
      <c r="L14" s="25">
        <v>341408</v>
      </c>
      <c r="M14" s="25">
        <v>339135</v>
      </c>
      <c r="N14" s="25">
        <v>347437</v>
      </c>
    </row>
    <row r="15" spans="2:23" x14ac:dyDescent="0.2">
      <c r="B15" s="1" t="s">
        <v>126</v>
      </c>
      <c r="C15" s="25">
        <v>54645</v>
      </c>
      <c r="D15" s="25">
        <v>53107</v>
      </c>
      <c r="E15" s="25">
        <v>54697</v>
      </c>
      <c r="F15" s="25">
        <v>51399</v>
      </c>
      <c r="G15" s="25">
        <v>61911</v>
      </c>
      <c r="H15" s="25">
        <v>63279</v>
      </c>
      <c r="I15" s="25">
        <v>59870</v>
      </c>
      <c r="J15" s="25">
        <v>67653</v>
      </c>
      <c r="K15" s="25">
        <v>66777</v>
      </c>
      <c r="L15" s="25">
        <v>67671</v>
      </c>
      <c r="M15" s="25">
        <v>67687</v>
      </c>
      <c r="N15" s="25">
        <v>64030</v>
      </c>
    </row>
    <row r="16" spans="2:23" x14ac:dyDescent="0.2">
      <c r="B16" s="1" t="s">
        <v>127</v>
      </c>
      <c r="C16" s="24">
        <v>9941</v>
      </c>
      <c r="D16" s="24">
        <v>8563</v>
      </c>
      <c r="E16" s="24">
        <v>10386</v>
      </c>
      <c r="F16" s="24">
        <v>9752</v>
      </c>
      <c r="G16" s="24">
        <v>8020</v>
      </c>
      <c r="H16" s="24">
        <v>9974</v>
      </c>
      <c r="I16" s="24">
        <v>14232</v>
      </c>
      <c r="J16" s="24">
        <v>12756</v>
      </c>
      <c r="K16" s="24">
        <v>9593</v>
      </c>
      <c r="L16" s="24">
        <v>10627</v>
      </c>
      <c r="M16" s="24">
        <v>12731</v>
      </c>
      <c r="N16" s="24">
        <v>10634</v>
      </c>
    </row>
    <row r="17" spans="2:14" x14ac:dyDescent="0.2">
      <c r="B17" s="2" t="s">
        <v>128</v>
      </c>
      <c r="C17" s="25">
        <v>93972</v>
      </c>
      <c r="D17" s="25">
        <v>106410</v>
      </c>
      <c r="E17" s="25">
        <v>101657</v>
      </c>
      <c r="F17" s="25">
        <v>94721</v>
      </c>
      <c r="G17" s="25">
        <v>95516</v>
      </c>
      <c r="H17" s="25">
        <v>94974</v>
      </c>
      <c r="I17" s="25">
        <v>84772</v>
      </c>
      <c r="J17" s="25">
        <v>46166</v>
      </c>
      <c r="K17" s="25">
        <v>59311</v>
      </c>
      <c r="L17" s="25">
        <v>71328</v>
      </c>
      <c r="M17" s="25">
        <v>66317</v>
      </c>
      <c r="N17" s="25">
        <v>59220</v>
      </c>
    </row>
    <row r="18" spans="2:14" x14ac:dyDescent="0.2">
      <c r="B18" s="1" t="s">
        <v>129</v>
      </c>
      <c r="C18" s="24">
        <v>1162</v>
      </c>
      <c r="D18" s="24">
        <v>1672</v>
      </c>
      <c r="E18" s="24">
        <v>3032</v>
      </c>
      <c r="F18" s="24">
        <v>5272</v>
      </c>
      <c r="G18" s="24">
        <v>4862</v>
      </c>
      <c r="H18" s="24">
        <v>2898</v>
      </c>
      <c r="I18" s="24">
        <v>1246</v>
      </c>
      <c r="J18" s="24">
        <v>891</v>
      </c>
      <c r="K18" s="24">
        <v>1955</v>
      </c>
      <c r="L18" s="24">
        <v>663</v>
      </c>
      <c r="M18" s="24">
        <v>189</v>
      </c>
      <c r="N18" s="24">
        <v>-34</v>
      </c>
    </row>
    <row r="19" spans="2:14" x14ac:dyDescent="0.2">
      <c r="B19" s="2" t="s">
        <v>130</v>
      </c>
      <c r="C19" s="25">
        <v>92810</v>
      </c>
      <c r="D19" s="25">
        <v>104738</v>
      </c>
      <c r="E19" s="25">
        <v>98625</v>
      </c>
      <c r="F19" s="25">
        <v>89449</v>
      </c>
      <c r="G19" s="25">
        <v>90654</v>
      </c>
      <c r="H19" s="25">
        <v>92076</v>
      </c>
      <c r="I19" s="25">
        <v>83526</v>
      </c>
      <c r="J19" s="25">
        <v>45275</v>
      </c>
      <c r="K19" s="25">
        <v>57356</v>
      </c>
      <c r="L19" s="25">
        <v>70665</v>
      </c>
      <c r="M19" s="25">
        <v>66128</v>
      </c>
      <c r="N19" s="25">
        <v>59254</v>
      </c>
    </row>
    <row r="20" spans="2:14" x14ac:dyDescent="0.2">
      <c r="B20" s="1" t="s">
        <v>131</v>
      </c>
      <c r="C20" s="24">
        <v>21859</v>
      </c>
      <c r="D20" s="24">
        <v>22906</v>
      </c>
      <c r="E20" s="24">
        <v>22450</v>
      </c>
      <c r="F20" s="24">
        <v>20212</v>
      </c>
      <c r="G20" s="24">
        <v>19130</v>
      </c>
      <c r="H20" s="24">
        <v>20624</v>
      </c>
      <c r="I20" s="24">
        <v>17603</v>
      </c>
      <c r="J20" s="24">
        <v>8194</v>
      </c>
      <c r="K20" s="24">
        <v>7324</v>
      </c>
      <c r="L20" s="24">
        <v>13999</v>
      </c>
      <c r="M20" s="24">
        <v>14438</v>
      </c>
      <c r="N20" s="24">
        <v>11770</v>
      </c>
    </row>
    <row r="21" spans="2:14" ht="16" thickBot="1" x14ac:dyDescent="0.25">
      <c r="B21" s="2" t="s">
        <v>132</v>
      </c>
      <c r="C21" s="11">
        <v>70951</v>
      </c>
      <c r="D21" s="11">
        <v>81832</v>
      </c>
      <c r="E21" s="11">
        <v>76175</v>
      </c>
      <c r="F21" s="11">
        <v>69237</v>
      </c>
      <c r="G21" s="11">
        <v>71524</v>
      </c>
      <c r="H21" s="11">
        <v>71452</v>
      </c>
      <c r="I21" s="11">
        <v>65923</v>
      </c>
      <c r="J21" s="11">
        <v>37081</v>
      </c>
      <c r="K21" s="11">
        <v>50032</v>
      </c>
      <c r="L21" s="11">
        <v>56666</v>
      </c>
      <c r="M21" s="11">
        <v>51690</v>
      </c>
      <c r="N21" s="11">
        <v>47484</v>
      </c>
    </row>
    <row r="22" spans="2:14" ht="16" thickTop="1" x14ac:dyDescent="0.2">
      <c r="B22" s="2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</row>
    <row r="23" spans="2:14" x14ac:dyDescent="0.2">
      <c r="B23" t="s">
        <v>133</v>
      </c>
      <c r="C23" s="12">
        <v>107539</v>
      </c>
      <c r="D23" s="12">
        <v>107300</v>
      </c>
      <c r="E23" s="12">
        <v>107470</v>
      </c>
      <c r="F23" s="12">
        <v>107445</v>
      </c>
      <c r="G23" s="12">
        <v>107718</v>
      </c>
      <c r="H23" s="12">
        <v>107805</v>
      </c>
      <c r="I23" s="12">
        <v>108002</v>
      </c>
      <c r="J23" s="12">
        <v>107982</v>
      </c>
      <c r="K23" s="12">
        <v>108255</v>
      </c>
      <c r="L23" s="12">
        <v>108274</v>
      </c>
      <c r="M23" s="12">
        <v>108292</v>
      </c>
      <c r="N23" s="12">
        <v>108431</v>
      </c>
    </row>
    <row r="24" spans="2:14" x14ac:dyDescent="0.2">
      <c r="B24" s="2" t="s">
        <v>134</v>
      </c>
      <c r="C24" s="13">
        <v>0.66</v>
      </c>
      <c r="D24" s="13">
        <v>0.76</v>
      </c>
      <c r="E24" s="13">
        <v>0.71</v>
      </c>
      <c r="F24" s="13">
        <v>0.64</v>
      </c>
      <c r="G24" s="13">
        <v>0.66</v>
      </c>
      <c r="H24" s="13">
        <v>0.66</v>
      </c>
      <c r="I24" s="13">
        <v>0.61</v>
      </c>
      <c r="J24" s="13">
        <v>0.34</v>
      </c>
      <c r="K24" s="13">
        <v>0.46</v>
      </c>
      <c r="L24" s="13">
        <v>0.52</v>
      </c>
      <c r="M24" s="13">
        <v>0.48</v>
      </c>
      <c r="N24" s="13">
        <v>0.44</v>
      </c>
    </row>
    <row r="26" spans="2:14" ht="21" x14ac:dyDescent="0.25">
      <c r="B26" s="6" t="s">
        <v>135</v>
      </c>
      <c r="C26" s="23" t="s">
        <v>106</v>
      </c>
      <c r="D26" s="23" t="s">
        <v>107</v>
      </c>
      <c r="E26" s="23" t="s">
        <v>108</v>
      </c>
      <c r="F26" s="23" t="s">
        <v>109</v>
      </c>
      <c r="G26" s="23" t="s">
        <v>110</v>
      </c>
      <c r="H26" s="23" t="s">
        <v>111</v>
      </c>
      <c r="I26" s="23" t="s">
        <v>112</v>
      </c>
      <c r="J26" s="23" t="s">
        <v>113</v>
      </c>
      <c r="K26" s="23" t="s">
        <v>114</v>
      </c>
      <c r="L26" s="23" t="s">
        <v>115</v>
      </c>
      <c r="M26" s="23" t="s">
        <v>116</v>
      </c>
      <c r="N26" s="23" t="s">
        <v>47</v>
      </c>
    </row>
    <row r="27" spans="2:14" x14ac:dyDescent="0.2">
      <c r="B27" t="s">
        <v>136</v>
      </c>
    </row>
    <row r="28" spans="2:14" x14ac:dyDescent="0.2">
      <c r="B28" s="1" t="s">
        <v>137</v>
      </c>
      <c r="C28" s="33">
        <v>31828</v>
      </c>
      <c r="D28" s="33">
        <v>6177</v>
      </c>
      <c r="E28" s="33">
        <v>7687</v>
      </c>
      <c r="F28" s="33">
        <v>9794</v>
      </c>
      <c r="G28" s="33">
        <v>5034</v>
      </c>
      <c r="H28" s="33">
        <v>4171</v>
      </c>
      <c r="I28" s="33">
        <v>61628</v>
      </c>
      <c r="J28" s="33">
        <v>34382</v>
      </c>
      <c r="K28" s="33">
        <v>57426</v>
      </c>
      <c r="L28" s="33">
        <v>138063</v>
      </c>
      <c r="M28" s="33">
        <v>180771</v>
      </c>
      <c r="N28" s="33">
        <v>187669</v>
      </c>
    </row>
    <row r="29" spans="2:14" x14ac:dyDescent="0.2">
      <c r="B29" s="1" t="s">
        <v>138</v>
      </c>
      <c r="C29" s="35">
        <v>0</v>
      </c>
      <c r="D29" s="35">
        <v>14188</v>
      </c>
      <c r="E29" s="35">
        <v>9867</v>
      </c>
      <c r="F29" s="35">
        <v>7325</v>
      </c>
      <c r="G29" s="35">
        <v>0</v>
      </c>
      <c r="H29" s="35">
        <v>14085</v>
      </c>
      <c r="I29" s="35">
        <v>16157</v>
      </c>
      <c r="J29" s="35">
        <v>27870</v>
      </c>
      <c r="K29" s="35">
        <v>15830</v>
      </c>
      <c r="L29" s="35">
        <v>4109</v>
      </c>
      <c r="M29" s="35">
        <v>3317</v>
      </c>
      <c r="N29" s="35">
        <v>21735</v>
      </c>
    </row>
    <row r="30" spans="2:14" x14ac:dyDescent="0.2">
      <c r="B30" s="1" t="s">
        <v>139</v>
      </c>
      <c r="C30" s="35">
        <v>97754</v>
      </c>
      <c r="D30" s="35">
        <v>97502</v>
      </c>
      <c r="E30" s="35">
        <v>102580</v>
      </c>
      <c r="F30" s="35">
        <v>94732</v>
      </c>
      <c r="G30" s="35">
        <v>87992</v>
      </c>
      <c r="H30" s="35">
        <v>88201</v>
      </c>
      <c r="I30" s="35">
        <v>97733</v>
      </c>
      <c r="J30" s="35">
        <v>99513</v>
      </c>
      <c r="K30" s="35">
        <v>100951</v>
      </c>
      <c r="L30" s="35">
        <v>109334</v>
      </c>
      <c r="M30" s="35">
        <v>104351</v>
      </c>
      <c r="N30" s="35">
        <v>101486</v>
      </c>
    </row>
    <row r="31" spans="2:14" x14ac:dyDescent="0.2">
      <c r="B31" s="1" t="s">
        <v>140</v>
      </c>
      <c r="C31" s="35">
        <v>1149531</v>
      </c>
      <c r="D31" s="35">
        <v>1344136</v>
      </c>
      <c r="E31" s="35">
        <v>1320456</v>
      </c>
      <c r="F31" s="35">
        <v>1292336</v>
      </c>
      <c r="G31" s="35">
        <v>1181147</v>
      </c>
      <c r="H31" s="35">
        <v>1172486</v>
      </c>
      <c r="I31" s="35">
        <v>1105450</v>
      </c>
      <c r="J31" s="35">
        <v>1106150</v>
      </c>
      <c r="K31" s="35">
        <v>1032130</v>
      </c>
      <c r="L31" s="35">
        <v>1037284</v>
      </c>
      <c r="M31" s="35">
        <v>1046007</v>
      </c>
      <c r="N31" s="35">
        <v>1132599</v>
      </c>
    </row>
    <row r="32" spans="2:14" x14ac:dyDescent="0.2">
      <c r="B32" s="1" t="s">
        <v>141</v>
      </c>
      <c r="C32" s="37">
        <v>43368</v>
      </c>
      <c r="D32" s="37">
        <v>49265</v>
      </c>
      <c r="E32" s="37">
        <v>56502</v>
      </c>
      <c r="F32" s="37">
        <v>53298</v>
      </c>
      <c r="G32" s="37">
        <v>54300</v>
      </c>
      <c r="H32" s="37">
        <v>56590</v>
      </c>
      <c r="I32" s="37">
        <v>55134</v>
      </c>
      <c r="J32" s="37">
        <v>48725</v>
      </c>
      <c r="K32" s="37">
        <v>49746</v>
      </c>
      <c r="L32" s="37">
        <v>53415</v>
      </c>
      <c r="M32" s="37">
        <v>54419</v>
      </c>
      <c r="N32" s="37">
        <v>48896</v>
      </c>
    </row>
    <row r="33" spans="2:14" x14ac:dyDescent="0.2">
      <c r="B33" t="s">
        <v>142</v>
      </c>
      <c r="C33" s="35">
        <v>1322481</v>
      </c>
      <c r="D33" s="35">
        <v>1511268</v>
      </c>
      <c r="E33" s="35">
        <v>1497092</v>
      </c>
      <c r="F33" s="35">
        <v>1457485</v>
      </c>
      <c r="G33" s="35">
        <v>1328473</v>
      </c>
      <c r="H33" s="35">
        <v>1335533</v>
      </c>
      <c r="I33" s="35">
        <v>1336102</v>
      </c>
      <c r="J33" s="35">
        <v>1316640</v>
      </c>
      <c r="K33" s="35">
        <v>1256083</v>
      </c>
      <c r="L33" s="35">
        <v>1342205</v>
      </c>
      <c r="M33" s="35">
        <v>1388865</v>
      </c>
      <c r="N33" s="35">
        <v>1492385</v>
      </c>
    </row>
    <row r="34" spans="2:14" x14ac:dyDescent="0.2">
      <c r="B34" s="1" t="s">
        <v>143</v>
      </c>
      <c r="C34" s="35">
        <v>1007942</v>
      </c>
      <c r="D34" s="35">
        <v>1085779</v>
      </c>
      <c r="E34" s="35">
        <v>1164119</v>
      </c>
      <c r="F34" s="35">
        <v>1258056</v>
      </c>
      <c r="G34" s="35">
        <v>1344987</v>
      </c>
      <c r="H34" s="35">
        <v>1443504</v>
      </c>
      <c r="I34" s="35">
        <v>1562616</v>
      </c>
      <c r="J34" s="35">
        <v>1629917</v>
      </c>
      <c r="K34" s="35">
        <v>1651373</v>
      </c>
      <c r="L34" s="35">
        <v>1700787</v>
      </c>
      <c r="M34" s="35">
        <v>1763980</v>
      </c>
      <c r="N34" s="35">
        <v>1786587</v>
      </c>
    </row>
    <row r="35" spans="2:14" x14ac:dyDescent="0.2">
      <c r="B35" s="1" t="s">
        <v>144</v>
      </c>
      <c r="C35" s="35">
        <v>1136515</v>
      </c>
      <c r="D35" s="35">
        <v>1177686</v>
      </c>
      <c r="E35" s="35">
        <v>1157347</v>
      </c>
      <c r="F35" s="35">
        <v>1205636</v>
      </c>
      <c r="G35" s="35">
        <v>1231509</v>
      </c>
      <c r="H35" s="35">
        <v>1257684</v>
      </c>
      <c r="I35" s="35">
        <v>1306475</v>
      </c>
      <c r="J35" s="35">
        <v>1282625</v>
      </c>
      <c r="K35" s="35">
        <v>1317694</v>
      </c>
      <c r="L35" s="35">
        <v>1342345</v>
      </c>
      <c r="M35" s="35">
        <v>1346653</v>
      </c>
      <c r="N35" s="35">
        <v>1331238</v>
      </c>
    </row>
    <row r="36" spans="2:14" x14ac:dyDescent="0.2">
      <c r="B36" s="1" t="s">
        <v>145</v>
      </c>
      <c r="C36" s="35">
        <v>151798</v>
      </c>
      <c r="D36" s="35">
        <v>151620</v>
      </c>
      <c r="E36" s="35">
        <v>150851</v>
      </c>
      <c r="F36" s="35">
        <v>152353</v>
      </c>
      <c r="G36" s="35">
        <v>151590</v>
      </c>
      <c r="H36" s="35">
        <v>155733</v>
      </c>
      <c r="I36" s="35">
        <v>154786</v>
      </c>
      <c r="J36" s="35">
        <v>153869</v>
      </c>
      <c r="K36" s="35">
        <v>152953</v>
      </c>
      <c r="L36" s="35">
        <v>152036</v>
      </c>
      <c r="M36" s="35">
        <v>151119</v>
      </c>
      <c r="N36" s="35">
        <v>150203</v>
      </c>
    </row>
    <row r="37" spans="2:14" x14ac:dyDescent="0.2">
      <c r="B37" s="1" t="s">
        <v>146</v>
      </c>
      <c r="C37" s="35">
        <v>255473</v>
      </c>
      <c r="D37" s="35">
        <v>255473</v>
      </c>
      <c r="E37" s="35">
        <v>255473</v>
      </c>
      <c r="F37" s="35">
        <v>255473</v>
      </c>
      <c r="G37" s="35">
        <v>255473</v>
      </c>
      <c r="H37" s="35">
        <v>258861</v>
      </c>
      <c r="I37" s="35">
        <v>257940</v>
      </c>
      <c r="J37" s="35">
        <v>257940</v>
      </c>
      <c r="K37" s="35">
        <v>257940</v>
      </c>
      <c r="L37" s="35">
        <v>257940</v>
      </c>
      <c r="M37" s="35">
        <v>257940</v>
      </c>
      <c r="N37" s="35">
        <v>257940</v>
      </c>
    </row>
    <row r="38" spans="2:14" x14ac:dyDescent="0.2">
      <c r="B38" s="1" t="s">
        <v>147</v>
      </c>
      <c r="C38" s="35">
        <v>8999</v>
      </c>
      <c r="D38" s="35">
        <v>8090</v>
      </c>
      <c r="E38" s="35">
        <v>8024</v>
      </c>
      <c r="F38" s="35">
        <v>11265</v>
      </c>
      <c r="G38" s="35">
        <v>14073</v>
      </c>
      <c r="H38" s="35">
        <v>15658</v>
      </c>
      <c r="I38" s="35">
        <v>12446</v>
      </c>
      <c r="J38" s="35">
        <v>14227</v>
      </c>
      <c r="K38" s="35">
        <v>15406</v>
      </c>
      <c r="L38" s="35">
        <v>15239</v>
      </c>
      <c r="M38" s="35">
        <v>16635</v>
      </c>
      <c r="N38" s="35">
        <v>17082</v>
      </c>
    </row>
    <row r="39" spans="2:14" x14ac:dyDescent="0.2">
      <c r="B39" s="1" t="s">
        <v>148</v>
      </c>
      <c r="C39" s="37">
        <v>10179</v>
      </c>
      <c r="D39" s="37">
        <v>9461</v>
      </c>
      <c r="E39" s="37">
        <v>11762</v>
      </c>
      <c r="F39" s="37">
        <v>10974</v>
      </c>
      <c r="G39" s="37">
        <v>9088</v>
      </c>
      <c r="H39" s="37">
        <v>8497</v>
      </c>
      <c r="I39" s="37">
        <v>7717</v>
      </c>
      <c r="J39" s="37">
        <v>7332</v>
      </c>
      <c r="K39" s="37">
        <v>7211</v>
      </c>
      <c r="L39" s="37">
        <v>7510</v>
      </c>
      <c r="M39" s="37">
        <v>7037</v>
      </c>
      <c r="N39" s="37">
        <v>15043</v>
      </c>
    </row>
    <row r="40" spans="2:14" x14ac:dyDescent="0.2">
      <c r="B40" t="s">
        <v>149</v>
      </c>
      <c r="C40" s="38">
        <v>2570906</v>
      </c>
      <c r="D40" s="38">
        <v>2688109</v>
      </c>
      <c r="E40" s="38">
        <v>2747576</v>
      </c>
      <c r="F40" s="38">
        <v>2893757</v>
      </c>
      <c r="G40" s="38">
        <v>3006720</v>
      </c>
      <c r="H40" s="38">
        <v>3139937</v>
      </c>
      <c r="I40" s="38">
        <v>3301980</v>
      </c>
      <c r="J40" s="38">
        <v>3345910</v>
      </c>
      <c r="K40" s="38">
        <v>3402577</v>
      </c>
      <c r="L40" s="38">
        <v>3475857</v>
      </c>
      <c r="M40" s="38">
        <v>3543364</v>
      </c>
      <c r="N40" s="38">
        <v>3558093</v>
      </c>
    </row>
    <row r="41" spans="2:14" ht="16" thickBot="1" x14ac:dyDescent="0.25">
      <c r="B41" t="s">
        <v>150</v>
      </c>
      <c r="C41" s="39">
        <v>3893387</v>
      </c>
      <c r="D41" s="39">
        <v>4199377</v>
      </c>
      <c r="E41" s="39">
        <v>4244668</v>
      </c>
      <c r="F41" s="39">
        <v>4351242</v>
      </c>
      <c r="G41" s="39">
        <v>4335193</v>
      </c>
      <c r="H41" s="39">
        <v>4475470</v>
      </c>
      <c r="I41" s="39">
        <v>4638082</v>
      </c>
      <c r="J41" s="39">
        <v>4662550</v>
      </c>
      <c r="K41" s="39">
        <v>4658660</v>
      </c>
      <c r="L41" s="39">
        <v>4818062</v>
      </c>
      <c r="M41" s="39">
        <v>4932229</v>
      </c>
      <c r="N41" s="39">
        <v>5050478</v>
      </c>
    </row>
    <row r="42" spans="2:14" ht="16" thickTop="1" x14ac:dyDescent="0.2"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</row>
    <row r="43" spans="2:14" x14ac:dyDescent="0.2">
      <c r="B43" t="s">
        <v>151</v>
      </c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</row>
    <row r="44" spans="2:14" x14ac:dyDescent="0.2">
      <c r="B44" s="1" t="s">
        <v>152</v>
      </c>
      <c r="C44" s="33">
        <v>1577</v>
      </c>
      <c r="D44" s="33">
        <v>1577</v>
      </c>
      <c r="E44" s="33">
        <v>2103</v>
      </c>
      <c r="F44" s="33">
        <v>2103</v>
      </c>
      <c r="G44" s="33">
        <v>2103</v>
      </c>
      <c r="H44" s="33">
        <v>2103</v>
      </c>
      <c r="I44" s="33">
        <v>2103</v>
      </c>
      <c r="J44" s="33">
        <v>2103</v>
      </c>
      <c r="K44" s="33">
        <v>2103</v>
      </c>
      <c r="L44" s="33">
        <v>2103</v>
      </c>
      <c r="M44" s="33">
        <v>2103</v>
      </c>
      <c r="N44" s="33">
        <v>2103</v>
      </c>
    </row>
    <row r="45" spans="2:14" x14ac:dyDescent="0.2">
      <c r="B45" s="1" t="s">
        <v>153</v>
      </c>
      <c r="C45" s="35">
        <v>109670</v>
      </c>
      <c r="D45" s="35">
        <v>112987</v>
      </c>
      <c r="E45" s="35">
        <v>107258</v>
      </c>
      <c r="F45" s="35">
        <v>105693</v>
      </c>
      <c r="G45" s="35">
        <v>113798</v>
      </c>
      <c r="H45" s="35">
        <v>118960</v>
      </c>
      <c r="I45" s="35">
        <v>125348</v>
      </c>
      <c r="J45" s="35">
        <v>126428</v>
      </c>
      <c r="K45" s="35">
        <v>129150</v>
      </c>
      <c r="L45" s="35">
        <v>132770</v>
      </c>
      <c r="M45" s="35">
        <v>134629</v>
      </c>
      <c r="N45" s="35">
        <v>138646</v>
      </c>
    </row>
    <row r="46" spans="2:14" x14ac:dyDescent="0.2">
      <c r="B46" s="1" t="s">
        <v>154</v>
      </c>
      <c r="C46" s="35">
        <v>688488</v>
      </c>
      <c r="D46" s="35">
        <v>770198</v>
      </c>
      <c r="E46" s="35">
        <v>642136</v>
      </c>
      <c r="F46" s="35">
        <v>590883</v>
      </c>
      <c r="G46" s="35">
        <v>572475</v>
      </c>
      <c r="H46" s="35">
        <v>664679</v>
      </c>
      <c r="I46" s="35">
        <v>706325</v>
      </c>
      <c r="J46" s="35">
        <v>679265</v>
      </c>
      <c r="K46" s="35">
        <v>641180</v>
      </c>
      <c r="L46" s="35">
        <v>698716</v>
      </c>
      <c r="M46" s="35">
        <v>737845</v>
      </c>
      <c r="N46" s="35">
        <v>794855</v>
      </c>
    </row>
    <row r="47" spans="2:14" x14ac:dyDescent="0.2">
      <c r="B47" s="1" t="s">
        <v>155</v>
      </c>
      <c r="C47" s="35">
        <v>271562</v>
      </c>
      <c r="D47" s="35">
        <v>292297</v>
      </c>
      <c r="E47" s="35">
        <v>294022</v>
      </c>
      <c r="F47" s="35">
        <v>298019</v>
      </c>
      <c r="G47" s="35">
        <v>303735</v>
      </c>
      <c r="H47" s="35">
        <v>316057</v>
      </c>
      <c r="I47" s="35">
        <v>327224</v>
      </c>
      <c r="J47" s="35">
        <v>332940</v>
      </c>
      <c r="K47" s="35">
        <v>287011</v>
      </c>
      <c r="L47" s="35">
        <v>302275</v>
      </c>
      <c r="M47" s="35">
        <v>305971</v>
      </c>
      <c r="N47" s="35">
        <v>295425</v>
      </c>
    </row>
    <row r="48" spans="2:14" x14ac:dyDescent="0.2">
      <c r="B48" s="1" t="s">
        <v>156</v>
      </c>
      <c r="C48" s="37">
        <v>22021</v>
      </c>
      <c r="D48" s="37">
        <v>20220</v>
      </c>
      <c r="E48" s="37">
        <v>15907</v>
      </c>
      <c r="F48" s="37">
        <v>10060</v>
      </c>
      <c r="G48" s="37">
        <v>14418</v>
      </c>
      <c r="H48" s="37">
        <v>14384</v>
      </c>
      <c r="I48" s="37">
        <v>13383</v>
      </c>
      <c r="J48" s="37">
        <v>11277</v>
      </c>
      <c r="K48" s="37">
        <v>14195</v>
      </c>
      <c r="L48" s="37">
        <v>13322</v>
      </c>
      <c r="M48" s="37">
        <v>12472</v>
      </c>
      <c r="N48" s="37">
        <v>13163</v>
      </c>
    </row>
    <row r="49" spans="2:14" x14ac:dyDescent="0.2">
      <c r="B49" t="s">
        <v>157</v>
      </c>
      <c r="C49" s="38">
        <v>1093318</v>
      </c>
      <c r="D49" s="38">
        <v>1197279</v>
      </c>
      <c r="E49" s="38">
        <v>1061426</v>
      </c>
      <c r="F49" s="38">
        <v>1006758</v>
      </c>
      <c r="G49" s="38">
        <v>1006529</v>
      </c>
      <c r="H49" s="38">
        <v>1116183</v>
      </c>
      <c r="I49" s="38">
        <v>1174383</v>
      </c>
      <c r="J49" s="38">
        <v>1152013</v>
      </c>
      <c r="K49" s="38">
        <v>1073639</v>
      </c>
      <c r="L49" s="38">
        <v>1149186</v>
      </c>
      <c r="M49" s="38">
        <v>1193020</v>
      </c>
      <c r="N49" s="38">
        <v>1244192</v>
      </c>
    </row>
    <row r="50" spans="2:14" x14ac:dyDescent="0.2">
      <c r="B50" s="1" t="s">
        <v>158</v>
      </c>
      <c r="C50" s="35">
        <v>195660</v>
      </c>
      <c r="D50" s="35">
        <v>195557</v>
      </c>
      <c r="E50" s="35">
        <v>195454</v>
      </c>
      <c r="F50" s="35">
        <v>195351</v>
      </c>
      <c r="G50" s="35">
        <v>195248</v>
      </c>
      <c r="H50" s="35">
        <v>195145</v>
      </c>
      <c r="I50" s="35">
        <v>195042</v>
      </c>
      <c r="J50" s="35">
        <v>194939</v>
      </c>
      <c r="K50" s="35">
        <v>194836</v>
      </c>
      <c r="L50" s="35">
        <v>194733</v>
      </c>
      <c r="M50" s="35">
        <v>194630</v>
      </c>
      <c r="N50" s="35">
        <v>194527</v>
      </c>
    </row>
    <row r="51" spans="2:14" x14ac:dyDescent="0.2">
      <c r="B51" s="1" t="s">
        <v>159</v>
      </c>
      <c r="C51" s="35"/>
      <c r="D51" s="35">
        <v>68600</v>
      </c>
      <c r="E51" s="35">
        <v>176400</v>
      </c>
      <c r="F51" s="35">
        <v>210200</v>
      </c>
      <c r="G51" s="35">
        <v>106500</v>
      </c>
      <c r="H51" s="35">
        <v>35000</v>
      </c>
      <c r="I51" s="35"/>
      <c r="J51" s="35"/>
      <c r="K51" s="36"/>
      <c r="L51" s="36"/>
      <c r="M51" s="35"/>
      <c r="N51" s="36"/>
    </row>
    <row r="52" spans="2:14" x14ac:dyDescent="0.2">
      <c r="B52" s="1" t="s">
        <v>160</v>
      </c>
      <c r="C52" s="35">
        <v>1151952</v>
      </c>
      <c r="D52" s="35">
        <v>1191223</v>
      </c>
      <c r="E52" s="35">
        <v>1177413</v>
      </c>
      <c r="F52" s="35">
        <v>1227507</v>
      </c>
      <c r="G52" s="35">
        <v>1251567</v>
      </c>
      <c r="H52" s="35">
        <v>1276927</v>
      </c>
      <c r="I52" s="35">
        <v>1325226</v>
      </c>
      <c r="J52" s="35">
        <v>1301754</v>
      </c>
      <c r="K52" s="35">
        <v>1337756</v>
      </c>
      <c r="L52" s="35">
        <v>1362140</v>
      </c>
      <c r="M52" s="35">
        <v>1368514</v>
      </c>
      <c r="N52" s="35">
        <v>1351282</v>
      </c>
    </row>
    <row r="53" spans="2:14" x14ac:dyDescent="0.2">
      <c r="B53" s="1" t="s">
        <v>161</v>
      </c>
      <c r="C53" s="35">
        <v>40821</v>
      </c>
      <c r="D53" s="35">
        <v>42887</v>
      </c>
      <c r="E53" s="35">
        <v>42584</v>
      </c>
      <c r="F53" s="35">
        <v>41520</v>
      </c>
      <c r="G53" s="35">
        <v>36816</v>
      </c>
      <c r="H53" s="35">
        <v>32093</v>
      </c>
      <c r="I53" s="35">
        <v>46917</v>
      </c>
      <c r="J53" s="35">
        <v>67188</v>
      </c>
      <c r="K53" s="35">
        <v>60478</v>
      </c>
      <c r="L53" s="35">
        <v>53974</v>
      </c>
      <c r="M53" s="35">
        <v>53373</v>
      </c>
      <c r="N53" s="35">
        <v>67832</v>
      </c>
    </row>
    <row r="54" spans="2:14" x14ac:dyDescent="0.2">
      <c r="B54" s="1" t="s">
        <v>162</v>
      </c>
      <c r="C54" s="37">
        <v>9219</v>
      </c>
      <c r="D54" s="37">
        <v>9545</v>
      </c>
      <c r="E54" s="37">
        <v>8772</v>
      </c>
      <c r="F54" s="37">
        <v>12730</v>
      </c>
      <c r="G54" s="37">
        <v>10116</v>
      </c>
      <c r="H54" s="37">
        <v>10343</v>
      </c>
      <c r="I54" s="37">
        <v>11038</v>
      </c>
      <c r="J54" s="37">
        <v>15666</v>
      </c>
      <c r="K54" s="37">
        <v>11150</v>
      </c>
      <c r="L54" s="37">
        <v>11435</v>
      </c>
      <c r="M54" s="37">
        <v>11637</v>
      </c>
      <c r="N54" s="37">
        <v>22487</v>
      </c>
    </row>
    <row r="55" spans="2:14" x14ac:dyDescent="0.2">
      <c r="B55" t="s">
        <v>163</v>
      </c>
      <c r="C55" s="38">
        <v>1397652</v>
      </c>
      <c r="D55" s="38">
        <v>1507812</v>
      </c>
      <c r="E55" s="38">
        <v>1600623</v>
      </c>
      <c r="F55" s="38">
        <v>1687308</v>
      </c>
      <c r="G55" s="38">
        <v>1600247</v>
      </c>
      <c r="H55" s="38">
        <v>1549508</v>
      </c>
      <c r="I55" s="38">
        <v>1578223</v>
      </c>
      <c r="J55" s="38">
        <v>1579547</v>
      </c>
      <c r="K55" s="38">
        <v>1604220</v>
      </c>
      <c r="L55" s="38">
        <v>1622282</v>
      </c>
      <c r="M55" s="38">
        <v>1628154</v>
      </c>
      <c r="N55" s="38">
        <v>1636128</v>
      </c>
    </row>
    <row r="56" spans="2:14" x14ac:dyDescent="0.2">
      <c r="B56" t="s">
        <v>164</v>
      </c>
      <c r="C56" s="37">
        <v>2490970</v>
      </c>
      <c r="D56" s="37">
        <v>2705091</v>
      </c>
      <c r="E56" s="37">
        <v>2662049</v>
      </c>
      <c r="F56" s="37">
        <v>2694066</v>
      </c>
      <c r="G56" s="37">
        <v>2606776</v>
      </c>
      <c r="H56" s="37">
        <v>2665691</v>
      </c>
      <c r="I56" s="37">
        <v>2752606</v>
      </c>
      <c r="J56" s="37">
        <v>2731560</v>
      </c>
      <c r="K56" s="37">
        <v>2677859</v>
      </c>
      <c r="L56" s="37">
        <v>2771468</v>
      </c>
      <c r="M56" s="37">
        <v>2821174</v>
      </c>
      <c r="N56" s="37">
        <v>2880320</v>
      </c>
    </row>
    <row r="57" spans="2:14" x14ac:dyDescent="0.2">
      <c r="B57" s="1" t="s">
        <v>165</v>
      </c>
      <c r="C57" s="35">
        <v>457045</v>
      </c>
      <c r="D57" s="35">
        <v>466260</v>
      </c>
      <c r="E57" s="35">
        <v>476905</v>
      </c>
      <c r="F57" s="35">
        <v>482312</v>
      </c>
      <c r="G57" s="35">
        <v>482878</v>
      </c>
      <c r="H57" s="35">
        <v>492914</v>
      </c>
      <c r="I57" s="35">
        <v>503594</v>
      </c>
      <c r="J57" s="35">
        <v>513060</v>
      </c>
      <c r="K57" s="35">
        <v>513809</v>
      </c>
      <c r="L57" s="35">
        <v>523282</v>
      </c>
      <c r="M57" s="35">
        <v>536238</v>
      </c>
      <c r="N57" s="35">
        <v>547818</v>
      </c>
    </row>
    <row r="58" spans="2:14" x14ac:dyDescent="0.2">
      <c r="B58" s="1" t="s">
        <v>166</v>
      </c>
      <c r="C58" s="35">
        <v>2089</v>
      </c>
      <c r="D58" s="35">
        <v>2911</v>
      </c>
      <c r="E58" s="35">
        <v>4424</v>
      </c>
      <c r="F58" s="35">
        <v>4337</v>
      </c>
      <c r="G58" s="35">
        <v>3488</v>
      </c>
      <c r="H58" s="35">
        <v>3362</v>
      </c>
      <c r="I58" s="35">
        <v>2455</v>
      </c>
      <c r="J58" s="35">
        <v>1422</v>
      </c>
      <c r="K58" s="35">
        <v>452</v>
      </c>
      <c r="L58" s="35">
        <v>106</v>
      </c>
      <c r="M58" s="35">
        <v>-79</v>
      </c>
      <c r="N58" s="35">
        <v>-40</v>
      </c>
    </row>
    <row r="59" spans="2:14" x14ac:dyDescent="0.2">
      <c r="B59" s="1" t="s">
        <v>167</v>
      </c>
      <c r="C59" s="37">
        <v>943177</v>
      </c>
      <c r="D59" s="37">
        <v>1025009</v>
      </c>
      <c r="E59" s="37">
        <v>1101184</v>
      </c>
      <c r="F59" s="37">
        <v>1170421</v>
      </c>
      <c r="G59" s="37">
        <v>1241945</v>
      </c>
      <c r="H59" s="37">
        <v>1313397</v>
      </c>
      <c r="I59" s="37">
        <v>1379320</v>
      </c>
      <c r="J59" s="37">
        <v>1416401</v>
      </c>
      <c r="K59" s="37">
        <v>1466433</v>
      </c>
      <c r="L59" s="37">
        <v>1523099</v>
      </c>
      <c r="M59" s="37">
        <v>1574789</v>
      </c>
      <c r="N59" s="37">
        <v>1622273</v>
      </c>
    </row>
    <row r="60" spans="2:14" x14ac:dyDescent="0.2">
      <c r="B60" s="2" t="s">
        <v>168</v>
      </c>
      <c r="C60" s="38">
        <v>1402417</v>
      </c>
      <c r="D60" s="38">
        <v>1494286</v>
      </c>
      <c r="E60" s="38">
        <v>1582619</v>
      </c>
      <c r="F60" s="38">
        <v>1657176</v>
      </c>
      <c r="G60" s="38">
        <v>1728417</v>
      </c>
      <c r="H60" s="38">
        <v>1809779</v>
      </c>
      <c r="I60" s="38">
        <v>1885476</v>
      </c>
      <c r="J60" s="38">
        <v>1930990</v>
      </c>
      <c r="K60" s="38">
        <v>1980801</v>
      </c>
      <c r="L60" s="38">
        <v>2046594</v>
      </c>
      <c r="M60" s="38">
        <v>2111055</v>
      </c>
      <c r="N60" s="38">
        <v>2170158</v>
      </c>
    </row>
    <row r="61" spans="2:14" ht="16" thickBot="1" x14ac:dyDescent="0.25">
      <c r="B61" s="2" t="s">
        <v>169</v>
      </c>
      <c r="C61" s="39">
        <v>3893387</v>
      </c>
      <c r="D61" s="39">
        <v>4199377</v>
      </c>
      <c r="E61" s="39">
        <v>4244668</v>
      </c>
      <c r="F61" s="39">
        <v>4351242</v>
      </c>
      <c r="G61" s="39">
        <v>4335193</v>
      </c>
      <c r="H61" s="39">
        <v>4475470</v>
      </c>
      <c r="I61" s="39">
        <v>4638082</v>
      </c>
      <c r="J61" s="39">
        <v>4662550</v>
      </c>
      <c r="K61" s="39">
        <v>4658660</v>
      </c>
      <c r="L61" s="39">
        <v>4818062</v>
      </c>
      <c r="M61" s="39">
        <v>4932229</v>
      </c>
      <c r="N61" s="39">
        <v>5050478</v>
      </c>
    </row>
    <row r="62" spans="2:14" ht="16" thickTop="1" x14ac:dyDescent="0.2">
      <c r="B62" s="2"/>
      <c r="C62" s="74"/>
      <c r="D62" s="74"/>
      <c r="E62" s="74"/>
      <c r="F62" s="74"/>
      <c r="G62" s="74"/>
      <c r="H62" s="74"/>
      <c r="I62" s="74"/>
      <c r="J62" s="74"/>
      <c r="K62" s="74"/>
      <c r="L62" s="74"/>
      <c r="M62" s="74"/>
      <c r="N62" s="74"/>
    </row>
    <row r="63" spans="2:14" ht="21" x14ac:dyDescent="0.25">
      <c r="B63" s="6" t="s">
        <v>33</v>
      </c>
      <c r="C63" s="23" t="s">
        <v>106</v>
      </c>
      <c r="D63" s="23" t="s">
        <v>107</v>
      </c>
      <c r="E63" s="23" t="s">
        <v>108</v>
      </c>
      <c r="F63" s="23" t="s">
        <v>109</v>
      </c>
      <c r="G63" s="23" t="s">
        <v>110</v>
      </c>
      <c r="H63" s="23" t="s">
        <v>111</v>
      </c>
      <c r="I63" s="23" t="s">
        <v>112</v>
      </c>
      <c r="J63" s="23" t="s">
        <v>113</v>
      </c>
      <c r="K63" s="23" t="s">
        <v>114</v>
      </c>
      <c r="L63" s="23" t="s">
        <v>115</v>
      </c>
      <c r="M63" s="23" t="s">
        <v>116</v>
      </c>
      <c r="N63" s="23" t="s">
        <v>47</v>
      </c>
    </row>
    <row r="64" spans="2:14" x14ac:dyDescent="0.2">
      <c r="B64" s="2" t="s">
        <v>142</v>
      </c>
      <c r="C64" s="74">
        <f>C33</f>
        <v>1322481</v>
      </c>
      <c r="D64" s="74">
        <f t="shared" ref="D64:N64" si="3">D33</f>
        <v>1511268</v>
      </c>
      <c r="E64" s="74">
        <f t="shared" si="3"/>
        <v>1497092</v>
      </c>
      <c r="F64" s="74">
        <f t="shared" si="3"/>
        <v>1457485</v>
      </c>
      <c r="G64" s="74">
        <f t="shared" si="3"/>
        <v>1328473</v>
      </c>
      <c r="H64" s="74">
        <f t="shared" si="3"/>
        <v>1335533</v>
      </c>
      <c r="I64" s="74">
        <f t="shared" si="3"/>
        <v>1336102</v>
      </c>
      <c r="J64" s="74">
        <f t="shared" si="3"/>
        <v>1316640</v>
      </c>
      <c r="K64" s="74">
        <f t="shared" si="3"/>
        <v>1256083</v>
      </c>
      <c r="L64" s="74">
        <f t="shared" si="3"/>
        <v>1342205</v>
      </c>
      <c r="M64" s="74">
        <f t="shared" si="3"/>
        <v>1388865</v>
      </c>
      <c r="N64" s="74">
        <f t="shared" si="3"/>
        <v>1492385</v>
      </c>
    </row>
    <row r="65" spans="2:16" x14ac:dyDescent="0.2">
      <c r="B65" s="2" t="s">
        <v>170</v>
      </c>
      <c r="C65" s="76">
        <f>C28+C29</f>
        <v>31828</v>
      </c>
      <c r="D65" s="76">
        <f t="shared" ref="D65:N65" si="4">D28+D29</f>
        <v>20365</v>
      </c>
      <c r="E65" s="76">
        <f t="shared" si="4"/>
        <v>17554</v>
      </c>
      <c r="F65" s="76">
        <f t="shared" si="4"/>
        <v>17119</v>
      </c>
      <c r="G65" s="76">
        <f t="shared" si="4"/>
        <v>5034</v>
      </c>
      <c r="H65" s="76">
        <f t="shared" si="4"/>
        <v>18256</v>
      </c>
      <c r="I65" s="76">
        <f t="shared" si="4"/>
        <v>77785</v>
      </c>
      <c r="J65" s="76">
        <f t="shared" si="4"/>
        <v>62252</v>
      </c>
      <c r="K65" s="76">
        <f t="shared" si="4"/>
        <v>73256</v>
      </c>
      <c r="L65" s="76">
        <f t="shared" si="4"/>
        <v>142172</v>
      </c>
      <c r="M65" s="76">
        <f t="shared" si="4"/>
        <v>184088</v>
      </c>
      <c r="N65" s="76">
        <f t="shared" si="4"/>
        <v>209404</v>
      </c>
    </row>
    <row r="66" spans="2:16" x14ac:dyDescent="0.2">
      <c r="B66" s="2" t="s">
        <v>171</v>
      </c>
      <c r="C66" s="77">
        <f>C64-C65</f>
        <v>1290653</v>
      </c>
      <c r="D66" s="77">
        <f t="shared" ref="D66:N66" si="5">D64-D65</f>
        <v>1490903</v>
      </c>
      <c r="E66" s="77">
        <f t="shared" si="5"/>
        <v>1479538</v>
      </c>
      <c r="F66" s="77">
        <f t="shared" si="5"/>
        <v>1440366</v>
      </c>
      <c r="G66" s="77">
        <f t="shared" si="5"/>
        <v>1323439</v>
      </c>
      <c r="H66" s="77">
        <f t="shared" si="5"/>
        <v>1317277</v>
      </c>
      <c r="I66" s="77">
        <f t="shared" si="5"/>
        <v>1258317</v>
      </c>
      <c r="J66" s="77">
        <f t="shared" si="5"/>
        <v>1254388</v>
      </c>
      <c r="K66" s="77">
        <f t="shared" si="5"/>
        <v>1182827</v>
      </c>
      <c r="L66" s="77">
        <f t="shared" si="5"/>
        <v>1200033</v>
      </c>
      <c r="M66" s="77">
        <f t="shared" si="5"/>
        <v>1204777</v>
      </c>
      <c r="N66" s="77">
        <f t="shared" si="5"/>
        <v>1282981</v>
      </c>
    </row>
    <row r="67" spans="2:16" x14ac:dyDescent="0.2">
      <c r="B67" s="2" t="s">
        <v>157</v>
      </c>
      <c r="C67" s="74">
        <f>C49</f>
        <v>1093318</v>
      </c>
      <c r="D67" s="74">
        <f t="shared" ref="D67:N67" si="6">D49</f>
        <v>1197279</v>
      </c>
      <c r="E67" s="74">
        <f t="shared" si="6"/>
        <v>1061426</v>
      </c>
      <c r="F67" s="74">
        <f t="shared" si="6"/>
        <v>1006758</v>
      </c>
      <c r="G67" s="74">
        <f t="shared" si="6"/>
        <v>1006529</v>
      </c>
      <c r="H67" s="74">
        <f t="shared" si="6"/>
        <v>1116183</v>
      </c>
      <c r="I67" s="74">
        <f t="shared" si="6"/>
        <v>1174383</v>
      </c>
      <c r="J67" s="74">
        <f t="shared" si="6"/>
        <v>1152013</v>
      </c>
      <c r="K67" s="74">
        <f t="shared" si="6"/>
        <v>1073639</v>
      </c>
      <c r="L67" s="74">
        <f t="shared" si="6"/>
        <v>1149186</v>
      </c>
      <c r="M67" s="74">
        <f t="shared" si="6"/>
        <v>1193020</v>
      </c>
      <c r="N67" s="74">
        <f t="shared" si="6"/>
        <v>1244192</v>
      </c>
    </row>
    <row r="68" spans="2:16" x14ac:dyDescent="0.2">
      <c r="B68" s="2" t="s">
        <v>172</v>
      </c>
      <c r="C68" s="75">
        <f>C44</f>
        <v>1577</v>
      </c>
      <c r="D68" s="75">
        <f t="shared" ref="D68:N68" si="7">D44</f>
        <v>1577</v>
      </c>
      <c r="E68" s="75">
        <f t="shared" si="7"/>
        <v>2103</v>
      </c>
      <c r="F68" s="75">
        <f t="shared" si="7"/>
        <v>2103</v>
      </c>
      <c r="G68" s="75">
        <f t="shared" si="7"/>
        <v>2103</v>
      </c>
      <c r="H68" s="75">
        <f t="shared" si="7"/>
        <v>2103</v>
      </c>
      <c r="I68" s="75">
        <f t="shared" si="7"/>
        <v>2103</v>
      </c>
      <c r="J68" s="75">
        <f t="shared" si="7"/>
        <v>2103</v>
      </c>
      <c r="K68" s="75">
        <f t="shared" si="7"/>
        <v>2103</v>
      </c>
      <c r="L68" s="75">
        <f t="shared" si="7"/>
        <v>2103</v>
      </c>
      <c r="M68" s="75">
        <f t="shared" si="7"/>
        <v>2103</v>
      </c>
      <c r="N68" s="75">
        <f t="shared" si="7"/>
        <v>2103</v>
      </c>
    </row>
    <row r="69" spans="2:16" x14ac:dyDescent="0.2">
      <c r="B69" s="2" t="s">
        <v>173</v>
      </c>
      <c r="C69" s="77">
        <f>C67-C68</f>
        <v>1091741</v>
      </c>
      <c r="D69" s="77">
        <f t="shared" ref="D69:N69" si="8">D67-D68</f>
        <v>1195702</v>
      </c>
      <c r="E69" s="77">
        <f t="shared" si="8"/>
        <v>1059323</v>
      </c>
      <c r="F69" s="77">
        <f t="shared" si="8"/>
        <v>1004655</v>
      </c>
      <c r="G69" s="77">
        <f t="shared" si="8"/>
        <v>1004426</v>
      </c>
      <c r="H69" s="77">
        <f t="shared" si="8"/>
        <v>1114080</v>
      </c>
      <c r="I69" s="77">
        <f t="shared" si="8"/>
        <v>1172280</v>
      </c>
      <c r="J69" s="77">
        <f t="shared" si="8"/>
        <v>1149910</v>
      </c>
      <c r="K69" s="77">
        <f t="shared" si="8"/>
        <v>1071536</v>
      </c>
      <c r="L69" s="77">
        <f t="shared" si="8"/>
        <v>1147083</v>
      </c>
      <c r="M69" s="77">
        <f t="shared" si="8"/>
        <v>1190917</v>
      </c>
      <c r="N69" s="77">
        <f t="shared" si="8"/>
        <v>1242089</v>
      </c>
    </row>
    <row r="70" spans="2:16" ht="16" thickBot="1" x14ac:dyDescent="0.25">
      <c r="B70" s="2" t="s">
        <v>33</v>
      </c>
      <c r="C70" s="78">
        <f>C66-C69</f>
        <v>198912</v>
      </c>
      <c r="D70" s="78">
        <f t="shared" ref="D70:N70" si="9">D66-D69</f>
        <v>295201</v>
      </c>
      <c r="E70" s="78">
        <f t="shared" si="9"/>
        <v>420215</v>
      </c>
      <c r="F70" s="78">
        <f t="shared" si="9"/>
        <v>435711</v>
      </c>
      <c r="G70" s="78">
        <f t="shared" si="9"/>
        <v>319013</v>
      </c>
      <c r="H70" s="78">
        <f t="shared" si="9"/>
        <v>203197</v>
      </c>
      <c r="I70" s="78">
        <f t="shared" si="9"/>
        <v>86037</v>
      </c>
      <c r="J70" s="78">
        <f t="shared" si="9"/>
        <v>104478</v>
      </c>
      <c r="K70" s="78">
        <f t="shared" si="9"/>
        <v>111291</v>
      </c>
      <c r="L70" s="78">
        <f t="shared" si="9"/>
        <v>52950</v>
      </c>
      <c r="M70" s="78">
        <f t="shared" si="9"/>
        <v>13860</v>
      </c>
      <c r="N70" s="78">
        <f t="shared" si="9"/>
        <v>40892</v>
      </c>
    </row>
    <row r="71" spans="2:16" ht="16" thickTop="1" x14ac:dyDescent="0.2">
      <c r="B71" s="2" t="s">
        <v>34</v>
      </c>
      <c r="C71" s="79"/>
      <c r="D71" s="80">
        <f>D70-C70</f>
        <v>96289</v>
      </c>
      <c r="E71" s="80">
        <f t="shared" ref="E71:N71" si="10">E70-D70</f>
        <v>125014</v>
      </c>
      <c r="F71" s="80">
        <f t="shared" si="10"/>
        <v>15496</v>
      </c>
      <c r="G71" s="80">
        <f t="shared" si="10"/>
        <v>-116698</v>
      </c>
      <c r="H71" s="80">
        <f t="shared" si="10"/>
        <v>-115816</v>
      </c>
      <c r="I71" s="80">
        <f t="shared" si="10"/>
        <v>-117160</v>
      </c>
      <c r="J71" s="80">
        <f t="shared" si="10"/>
        <v>18441</v>
      </c>
      <c r="K71" s="80">
        <f t="shared" si="10"/>
        <v>6813</v>
      </c>
      <c r="L71" s="80">
        <f t="shared" si="10"/>
        <v>-58341</v>
      </c>
      <c r="M71" s="80">
        <f t="shared" si="10"/>
        <v>-39090</v>
      </c>
      <c r="N71" s="80">
        <f t="shared" si="10"/>
        <v>27032</v>
      </c>
      <c r="P71" s="83">
        <f>AVERAGE(D71:N71)</f>
        <v>-14365.454545454546</v>
      </c>
    </row>
    <row r="72" spans="2:16" x14ac:dyDescent="0.2">
      <c r="B72" s="2" t="s">
        <v>174</v>
      </c>
      <c r="C72" s="74"/>
      <c r="D72" s="103">
        <f>D71/D10</f>
        <v>8.8351014730521565E-2</v>
      </c>
      <c r="E72" s="103">
        <f t="shared" ref="E72:N72" si="11">E71/E10</f>
        <v>0.11387435508788293</v>
      </c>
      <c r="F72" s="103">
        <f t="shared" si="11"/>
        <v>1.4785286083263603E-2</v>
      </c>
      <c r="G72" s="103">
        <f t="shared" si="11"/>
        <v>-0.10400409250195178</v>
      </c>
      <c r="H72" s="103">
        <f t="shared" si="11"/>
        <v>-0.10195976931047566</v>
      </c>
      <c r="I72" s="103">
        <f t="shared" si="11"/>
        <v>-0.10575801670319512</v>
      </c>
      <c r="J72" s="103">
        <f t="shared" si="11"/>
        <v>1.7594342637920622E-2</v>
      </c>
      <c r="K72" s="103">
        <f t="shared" si="11"/>
        <v>6.2089385749788794E-3</v>
      </c>
      <c r="L72" s="103">
        <f t="shared" si="11"/>
        <v>-5.1486181306971163E-2</v>
      </c>
      <c r="M72" s="103">
        <f t="shared" si="11"/>
        <v>-3.4966536246585196E-2</v>
      </c>
      <c r="N72" s="103">
        <f t="shared" si="11"/>
        <v>2.440997782224566E-2</v>
      </c>
      <c r="P72" s="14">
        <f>AVERAGE(D72:N72)</f>
        <v>-1.2086425557487788E-2</v>
      </c>
    </row>
    <row r="74" spans="2:16" ht="21" x14ac:dyDescent="0.25">
      <c r="B74" s="6" t="s">
        <v>175</v>
      </c>
      <c r="C74" s="23" t="s">
        <v>106</v>
      </c>
      <c r="D74" s="23" t="s">
        <v>107</v>
      </c>
      <c r="E74" s="23" t="s">
        <v>108</v>
      </c>
      <c r="F74" s="23" t="s">
        <v>109</v>
      </c>
      <c r="G74" s="23" t="s">
        <v>110</v>
      </c>
      <c r="H74" s="23" t="s">
        <v>111</v>
      </c>
      <c r="I74" s="23" t="s">
        <v>112</v>
      </c>
      <c r="J74" s="23" t="s">
        <v>113</v>
      </c>
      <c r="K74" s="23" t="s">
        <v>114</v>
      </c>
      <c r="L74" s="23" t="s">
        <v>115</v>
      </c>
      <c r="M74" s="23" t="s">
        <v>116</v>
      </c>
      <c r="N74" s="23" t="s">
        <v>47</v>
      </c>
    </row>
    <row r="75" spans="2:16" x14ac:dyDescent="0.2">
      <c r="B75" t="s">
        <v>176</v>
      </c>
    </row>
    <row r="76" spans="2:16" x14ac:dyDescent="0.2">
      <c r="B76" s="1" t="s">
        <v>177</v>
      </c>
      <c r="C76" s="10">
        <v>70951</v>
      </c>
      <c r="D76" s="57">
        <v>81832</v>
      </c>
      <c r="E76" s="57">
        <v>76175</v>
      </c>
      <c r="F76" s="57">
        <v>69237</v>
      </c>
      <c r="G76" s="34">
        <v>71524</v>
      </c>
      <c r="H76" s="57">
        <v>71452</v>
      </c>
      <c r="I76" s="57">
        <v>65923</v>
      </c>
      <c r="J76" s="57">
        <v>37081</v>
      </c>
      <c r="K76" s="10">
        <v>50032</v>
      </c>
      <c r="L76" s="57">
        <v>56666</v>
      </c>
      <c r="M76" s="57">
        <v>51690</v>
      </c>
      <c r="N76" s="57">
        <v>47484</v>
      </c>
    </row>
    <row r="77" spans="2:16" x14ac:dyDescent="0.2">
      <c r="B77" s="3" t="s">
        <v>178</v>
      </c>
      <c r="C77" s="25">
        <v>34613</v>
      </c>
      <c r="D77" s="58">
        <v>37953</v>
      </c>
      <c r="E77" s="58">
        <v>40125</v>
      </c>
      <c r="F77" s="58">
        <v>42332</v>
      </c>
      <c r="G77" s="36">
        <v>46352</v>
      </c>
      <c r="H77" s="58">
        <v>49676</v>
      </c>
      <c r="I77" s="58">
        <v>50919</v>
      </c>
      <c r="J77" s="58">
        <v>54922</v>
      </c>
      <c r="K77" s="25">
        <v>56423</v>
      </c>
      <c r="L77" s="58">
        <v>58384</v>
      </c>
      <c r="M77" s="58">
        <v>57883</v>
      </c>
      <c r="N77" s="58">
        <v>59783</v>
      </c>
    </row>
    <row r="78" spans="2:16" x14ac:dyDescent="0.2">
      <c r="B78" s="3" t="s">
        <v>179</v>
      </c>
      <c r="C78" s="25">
        <v>5980</v>
      </c>
      <c r="D78" s="58">
        <v>4889</v>
      </c>
      <c r="E78" s="58">
        <v>6360</v>
      </c>
      <c r="F78" s="58">
        <v>5004</v>
      </c>
      <c r="G78" s="36">
        <v>6741</v>
      </c>
      <c r="H78" s="58">
        <v>8306</v>
      </c>
      <c r="I78" s="58">
        <v>5289</v>
      </c>
      <c r="J78" s="58">
        <v>6904</v>
      </c>
      <c r="K78" s="25">
        <v>-7530</v>
      </c>
      <c r="L78" s="58">
        <v>23117</v>
      </c>
      <c r="M78" s="58">
        <v>10031</v>
      </c>
      <c r="N78" s="58">
        <v>8077</v>
      </c>
    </row>
    <row r="79" spans="2:16" x14ac:dyDescent="0.2">
      <c r="B79" s="3" t="s">
        <v>180</v>
      </c>
      <c r="C79" s="28">
        <v>630</v>
      </c>
      <c r="D79" s="28">
        <v>3291</v>
      </c>
      <c r="E79" s="28">
        <v>-559</v>
      </c>
      <c r="F79" s="28">
        <v>1826</v>
      </c>
      <c r="G79" s="28">
        <v>-5926</v>
      </c>
      <c r="H79" s="28">
        <v>-4945</v>
      </c>
      <c r="I79" s="28">
        <v>19096</v>
      </c>
      <c r="J79" s="28">
        <v>19144</v>
      </c>
      <c r="K79" s="28">
        <v>7873</v>
      </c>
      <c r="L79" s="58">
        <v>-20134</v>
      </c>
      <c r="M79" s="58">
        <v>-2797</v>
      </c>
      <c r="N79" s="58">
        <v>14624</v>
      </c>
    </row>
    <row r="80" spans="2:16" x14ac:dyDescent="0.2">
      <c r="B80" s="1" t="s">
        <v>181</v>
      </c>
      <c r="C80" s="28"/>
      <c r="D80" s="28"/>
      <c r="E80" s="28"/>
      <c r="F80" s="28"/>
      <c r="G80" s="28"/>
      <c r="H80" s="28"/>
      <c r="I80" s="28"/>
      <c r="J80" s="28"/>
      <c r="K80" s="28"/>
      <c r="L80" s="58"/>
      <c r="M80" s="58"/>
      <c r="N80" s="58"/>
    </row>
    <row r="81" spans="2:14" x14ac:dyDescent="0.2">
      <c r="B81" s="3" t="s">
        <v>139</v>
      </c>
      <c r="C81" s="25">
        <v>-16291</v>
      </c>
      <c r="D81" s="28">
        <v>355</v>
      </c>
      <c r="E81" s="28">
        <v>-5078</v>
      </c>
      <c r="F81" s="28">
        <v>8864</v>
      </c>
      <c r="G81" s="25">
        <v>6740</v>
      </c>
      <c r="H81" s="28">
        <v>5855</v>
      </c>
      <c r="I81" s="28">
        <v>-9664</v>
      </c>
      <c r="J81" s="28">
        <v>-1780</v>
      </c>
      <c r="K81" s="25">
        <v>-1438</v>
      </c>
      <c r="L81" s="58">
        <v>-8383</v>
      </c>
      <c r="M81" s="58">
        <v>4983</v>
      </c>
      <c r="N81" s="58">
        <v>2865</v>
      </c>
    </row>
    <row r="82" spans="2:14" x14ac:dyDescent="0.2">
      <c r="B82" s="3" t="s">
        <v>140</v>
      </c>
      <c r="C82" s="25">
        <v>-141363</v>
      </c>
      <c r="D82" s="28">
        <v>-194605</v>
      </c>
      <c r="E82" s="28">
        <v>23680</v>
      </c>
      <c r="F82" s="28">
        <v>28850</v>
      </c>
      <c r="G82" s="25">
        <v>111189</v>
      </c>
      <c r="H82" s="28">
        <v>17365</v>
      </c>
      <c r="I82" s="28">
        <v>67036</v>
      </c>
      <c r="J82" s="28">
        <v>-700</v>
      </c>
      <c r="K82" s="25">
        <v>74020</v>
      </c>
      <c r="L82" s="58">
        <v>-5154</v>
      </c>
      <c r="M82" s="58">
        <v>-8723</v>
      </c>
      <c r="N82" s="58">
        <v>-86592</v>
      </c>
    </row>
    <row r="83" spans="2:14" x14ac:dyDescent="0.2">
      <c r="B83" s="3" t="s">
        <v>182</v>
      </c>
      <c r="C83" s="25">
        <v>27661</v>
      </c>
      <c r="D83" s="28">
        <v>83262</v>
      </c>
      <c r="E83" s="28">
        <v>-136684</v>
      </c>
      <c r="F83" s="28">
        <v>-58971</v>
      </c>
      <c r="G83" s="25">
        <v>47176</v>
      </c>
      <c r="H83" s="28">
        <v>37709</v>
      </c>
      <c r="I83" s="28">
        <v>24453</v>
      </c>
      <c r="J83" s="28">
        <v>-12353</v>
      </c>
      <c r="K83" s="25">
        <v>-35079</v>
      </c>
      <c r="L83" s="58">
        <v>54215</v>
      </c>
      <c r="M83" s="58">
        <v>41611</v>
      </c>
      <c r="N83" s="58">
        <v>61591</v>
      </c>
    </row>
    <row r="84" spans="2:14" x14ac:dyDescent="0.2">
      <c r="B84" s="3" t="s">
        <v>183</v>
      </c>
      <c r="C84" s="25">
        <v>-3969</v>
      </c>
      <c r="D84" s="28">
        <v>30143</v>
      </c>
      <c r="E84" s="28">
        <v>1622</v>
      </c>
      <c r="F84" s="28">
        <v>10920</v>
      </c>
      <c r="G84" s="25">
        <v>-68733</v>
      </c>
      <c r="H84" s="28">
        <v>75312</v>
      </c>
      <c r="I84" s="28">
        <v>-3629</v>
      </c>
      <c r="J84" s="28">
        <v>4557</v>
      </c>
      <c r="K84" s="25">
        <v>-7905</v>
      </c>
      <c r="L84" s="58">
        <v>26874</v>
      </c>
      <c r="M84" s="58">
        <v>2970</v>
      </c>
      <c r="N84" s="58">
        <v>9538</v>
      </c>
    </row>
    <row r="85" spans="2:14" x14ac:dyDescent="0.2">
      <c r="B85" s="3" t="s">
        <v>184</v>
      </c>
      <c r="C85" s="25">
        <v>19842</v>
      </c>
      <c r="D85" s="28">
        <v>-30523</v>
      </c>
      <c r="E85" s="28">
        <v>4321</v>
      </c>
      <c r="F85" s="28">
        <v>-2505</v>
      </c>
      <c r="G85" s="25">
        <v>25495</v>
      </c>
      <c r="H85" s="28">
        <v>-32250</v>
      </c>
      <c r="I85" s="28">
        <v>-2157</v>
      </c>
      <c r="J85" s="28">
        <v>-9501</v>
      </c>
      <c r="K85" s="25">
        <v>13186</v>
      </c>
      <c r="L85" s="58">
        <v>11204</v>
      </c>
      <c r="M85" s="58">
        <v>450</v>
      </c>
      <c r="N85" s="58">
        <v>-19183</v>
      </c>
    </row>
    <row r="86" spans="2:14" x14ac:dyDescent="0.2">
      <c r="B86" s="3" t="s">
        <v>156</v>
      </c>
      <c r="C86" s="25">
        <v>7529</v>
      </c>
      <c r="D86" s="28">
        <v>-1801</v>
      </c>
      <c r="E86" s="28">
        <v>-4313</v>
      </c>
      <c r="F86" s="28">
        <v>-5847</v>
      </c>
      <c r="G86" s="25">
        <v>4358</v>
      </c>
      <c r="H86" s="28">
        <v>-34</v>
      </c>
      <c r="I86" s="28">
        <v>-1001</v>
      </c>
      <c r="J86" s="28">
        <v>-2106</v>
      </c>
      <c r="K86" s="25">
        <v>2918</v>
      </c>
      <c r="L86" s="58">
        <v>-873</v>
      </c>
      <c r="M86" s="58">
        <v>-850</v>
      </c>
      <c r="N86" s="58">
        <v>691</v>
      </c>
    </row>
    <row r="87" spans="2:14" x14ac:dyDescent="0.2">
      <c r="B87" s="3" t="s">
        <v>185</v>
      </c>
      <c r="C87" s="24">
        <v>-8916</v>
      </c>
      <c r="D87" s="60">
        <v>-3610</v>
      </c>
      <c r="E87" s="60">
        <v>-6177</v>
      </c>
      <c r="F87" s="60">
        <v>5415</v>
      </c>
      <c r="G87" s="24">
        <v>5364</v>
      </c>
      <c r="H87" s="60">
        <v>-2081</v>
      </c>
      <c r="I87" s="60">
        <v>6065</v>
      </c>
      <c r="J87" s="60">
        <v>8446</v>
      </c>
      <c r="K87" s="24">
        <v>-4990</v>
      </c>
      <c r="L87" s="61">
        <v>-1946</v>
      </c>
      <c r="M87" s="61">
        <v>3040</v>
      </c>
      <c r="N87" s="61">
        <v>2509</v>
      </c>
    </row>
    <row r="88" spans="2:14" x14ac:dyDescent="0.2">
      <c r="B88" s="1" t="s">
        <v>186</v>
      </c>
      <c r="C88" s="28">
        <v>-3333</v>
      </c>
      <c r="D88" s="28">
        <v>11186</v>
      </c>
      <c r="E88" s="28">
        <v>-528</v>
      </c>
      <c r="F88" s="28">
        <v>105125</v>
      </c>
      <c r="G88" s="25">
        <v>250280</v>
      </c>
      <c r="H88" s="28">
        <v>226365</v>
      </c>
      <c r="I88" s="28">
        <v>222330</v>
      </c>
      <c r="J88" s="28">
        <v>104614</v>
      </c>
      <c r="K88" s="25">
        <v>147510</v>
      </c>
      <c r="L88" s="58">
        <v>193970</v>
      </c>
      <c r="M88" s="58">
        <v>160288</v>
      </c>
      <c r="N88" s="58">
        <v>101387</v>
      </c>
    </row>
    <row r="89" spans="2:14" x14ac:dyDescent="0.2">
      <c r="B89" s="2" t="s">
        <v>187</v>
      </c>
      <c r="C89" s="28"/>
      <c r="D89" s="28"/>
      <c r="E89" s="28"/>
      <c r="F89" s="28"/>
      <c r="G89" s="25"/>
      <c r="H89" s="28"/>
      <c r="I89" s="28"/>
      <c r="J89" s="28"/>
      <c r="K89" s="25"/>
      <c r="L89" s="58"/>
      <c r="M89" s="58"/>
      <c r="N89" s="58"/>
    </row>
    <row r="90" spans="2:14" x14ac:dyDescent="0.2">
      <c r="B90" s="3" t="s">
        <v>188</v>
      </c>
      <c r="C90" s="25">
        <v>-100904</v>
      </c>
      <c r="D90" s="28">
        <v>-113379</v>
      </c>
      <c r="E90" s="28">
        <v>-108542</v>
      </c>
      <c r="F90" s="28">
        <v>-133775</v>
      </c>
      <c r="G90" s="25">
        <v>-139398</v>
      </c>
      <c r="H90" s="28">
        <v>-139777</v>
      </c>
      <c r="I90" s="28">
        <v>-134542</v>
      </c>
      <c r="J90" s="28">
        <v>-133896</v>
      </c>
      <c r="K90" s="25">
        <v>-111688</v>
      </c>
      <c r="L90" s="58">
        <v>-113926</v>
      </c>
      <c r="M90" s="58">
        <v>-123746</v>
      </c>
      <c r="N90" s="58">
        <v>-97466</v>
      </c>
    </row>
    <row r="91" spans="2:14" x14ac:dyDescent="0.2">
      <c r="B91" s="3" t="s">
        <v>189</v>
      </c>
      <c r="C91" s="60">
        <v>-490</v>
      </c>
      <c r="D91" s="60">
        <v>4142</v>
      </c>
      <c r="E91" s="60">
        <v>0</v>
      </c>
      <c r="F91" s="60">
        <v>-2689</v>
      </c>
      <c r="G91" s="60">
        <v>0</v>
      </c>
      <c r="H91" s="60">
        <v>-17156</v>
      </c>
      <c r="I91" s="60">
        <v>-197</v>
      </c>
      <c r="J91" s="60">
        <v>0</v>
      </c>
      <c r="K91" s="60">
        <v>0</v>
      </c>
      <c r="L91" s="60">
        <v>0</v>
      </c>
      <c r="M91" s="60">
        <v>0</v>
      </c>
      <c r="N91" s="60">
        <v>0</v>
      </c>
    </row>
    <row r="92" spans="2:14" x14ac:dyDescent="0.2">
      <c r="B92" s="1" t="s">
        <v>190</v>
      </c>
      <c r="C92" s="28">
        <v>-101394</v>
      </c>
      <c r="D92" s="28">
        <v>-109237</v>
      </c>
      <c r="E92" s="28">
        <v>-108542</v>
      </c>
      <c r="F92" s="28">
        <v>-136464</v>
      </c>
      <c r="G92" s="28">
        <v>-139398</v>
      </c>
      <c r="H92" s="28">
        <v>-156933</v>
      </c>
      <c r="I92" s="28">
        <v>-134739</v>
      </c>
      <c r="J92" s="28">
        <v>-133896</v>
      </c>
      <c r="K92" s="28">
        <v>-111688</v>
      </c>
      <c r="L92" s="28">
        <v>-113926</v>
      </c>
      <c r="M92" s="28">
        <v>-123746</v>
      </c>
      <c r="N92" s="28">
        <v>-97466</v>
      </c>
    </row>
    <row r="93" spans="2:14" x14ac:dyDescent="0.2">
      <c r="B93" t="s">
        <v>191</v>
      </c>
      <c r="C93" s="59"/>
      <c r="D93" s="59"/>
      <c r="E93" s="59"/>
      <c r="F93" s="59"/>
      <c r="G93" s="59"/>
      <c r="H93" s="59"/>
      <c r="I93" s="59"/>
      <c r="J93" s="59"/>
      <c r="K93" s="59"/>
      <c r="L93" s="59"/>
      <c r="M93" s="59"/>
      <c r="N93" s="59"/>
    </row>
    <row r="94" spans="2:14" x14ac:dyDescent="0.2">
      <c r="B94" s="3" t="s">
        <v>192</v>
      </c>
      <c r="C94" s="59">
        <v>-1051</v>
      </c>
      <c r="D94" s="59">
        <v>68074</v>
      </c>
      <c r="E94" s="59">
        <v>107800</v>
      </c>
      <c r="F94" s="59">
        <v>33274</v>
      </c>
      <c r="G94" s="59">
        <v>-104226</v>
      </c>
      <c r="H94" s="59">
        <v>-72025</v>
      </c>
      <c r="I94" s="59">
        <v>-35526</v>
      </c>
      <c r="J94" s="59">
        <v>-526</v>
      </c>
      <c r="K94" s="59">
        <v>-526</v>
      </c>
      <c r="L94" s="59">
        <v>-525</v>
      </c>
      <c r="M94" s="59">
        <v>-526</v>
      </c>
      <c r="N94" s="59">
        <v>-526</v>
      </c>
    </row>
    <row r="95" spans="2:14" x14ac:dyDescent="0.2">
      <c r="B95" s="3" t="s">
        <v>193</v>
      </c>
      <c r="C95" s="59">
        <v>2540</v>
      </c>
      <c r="D95" s="59">
        <v>4599</v>
      </c>
      <c r="E95" s="59">
        <v>4340</v>
      </c>
      <c r="F95" s="59">
        <v>492</v>
      </c>
      <c r="G95" s="59">
        <v>4688</v>
      </c>
      <c r="H95" s="59">
        <v>2728</v>
      </c>
      <c r="I95" s="59">
        <v>5652</v>
      </c>
      <c r="J95" s="59">
        <v>3051</v>
      </c>
      <c r="K95" s="59">
        <v>6574</v>
      </c>
      <c r="L95" s="59">
        <v>1588</v>
      </c>
      <c r="M95" s="59">
        <v>3508</v>
      </c>
      <c r="N95" s="59">
        <v>3904</v>
      </c>
    </row>
    <row r="96" spans="2:14" x14ac:dyDescent="0.2">
      <c r="B96" s="3" t="s">
        <v>180</v>
      </c>
      <c r="C96" s="62">
        <v>-4378</v>
      </c>
      <c r="D96" s="62">
        <v>-273</v>
      </c>
      <c r="E96" s="62">
        <v>-1560</v>
      </c>
      <c r="F96" s="62">
        <v>-320</v>
      </c>
      <c r="G96" s="62">
        <v>-16104</v>
      </c>
      <c r="H96" s="62">
        <v>-998</v>
      </c>
      <c r="I96" s="62">
        <v>-260</v>
      </c>
      <c r="J96" s="62">
        <v>-489</v>
      </c>
      <c r="K96" s="62">
        <v>-18826</v>
      </c>
      <c r="L96" s="62">
        <v>-470</v>
      </c>
      <c r="M96" s="62">
        <v>3184</v>
      </c>
      <c r="N96" s="62">
        <v>-401</v>
      </c>
    </row>
    <row r="97" spans="2:16" x14ac:dyDescent="0.2">
      <c r="B97" s="1" t="s">
        <v>194</v>
      </c>
      <c r="C97" s="59">
        <v>-2889</v>
      </c>
      <c r="D97" s="59">
        <v>72400</v>
      </c>
      <c r="E97" s="59">
        <v>110580</v>
      </c>
      <c r="F97" s="59">
        <v>33446</v>
      </c>
      <c r="G97" s="59">
        <v>-115642</v>
      </c>
      <c r="H97" s="59">
        <v>-70295</v>
      </c>
      <c r="I97" s="59">
        <v>-30134</v>
      </c>
      <c r="J97" s="59">
        <v>2036</v>
      </c>
      <c r="K97" s="59">
        <v>-12778</v>
      </c>
      <c r="L97" s="59">
        <v>593</v>
      </c>
      <c r="M97" s="59">
        <v>6166</v>
      </c>
      <c r="N97" s="59">
        <v>2977</v>
      </c>
    </row>
    <row r="98" spans="2:16" ht="16" thickBot="1" x14ac:dyDescent="0.25">
      <c r="B98" s="2" t="s">
        <v>195</v>
      </c>
      <c r="C98" s="63">
        <v>-107616</v>
      </c>
      <c r="D98" s="64">
        <v>-25651</v>
      </c>
      <c r="E98" s="64">
        <v>1510</v>
      </c>
      <c r="F98" s="64">
        <v>2107</v>
      </c>
      <c r="G98" s="63">
        <v>-4760</v>
      </c>
      <c r="H98" s="64">
        <v>-863</v>
      </c>
      <c r="I98" s="64">
        <v>57457</v>
      </c>
      <c r="J98" s="64">
        <v>-27246</v>
      </c>
      <c r="K98" s="63">
        <v>23044</v>
      </c>
      <c r="L98" s="64">
        <v>80637</v>
      </c>
      <c r="M98" s="64">
        <v>42708</v>
      </c>
      <c r="N98" s="64">
        <v>6898</v>
      </c>
    </row>
    <row r="99" spans="2:16" ht="16" thickTop="1" x14ac:dyDescent="0.2">
      <c r="B99" s="2"/>
      <c r="C99" s="81"/>
      <c r="D99" s="82"/>
      <c r="E99" s="82"/>
      <c r="F99" s="82"/>
      <c r="G99" s="81"/>
      <c r="H99" s="82"/>
      <c r="I99" s="82"/>
      <c r="J99" s="82"/>
      <c r="K99" s="81"/>
      <c r="L99" s="82"/>
      <c r="M99" s="82"/>
      <c r="N99" s="82"/>
    </row>
    <row r="100" spans="2:16" x14ac:dyDescent="0.2">
      <c r="B100" s="2" t="s">
        <v>196</v>
      </c>
      <c r="C100" s="67">
        <f t="shared" ref="C100:N100" si="12">C77/C10</f>
        <v>3.3646209807394335E-2</v>
      </c>
      <c r="D100" s="67">
        <f t="shared" si="12"/>
        <v>3.4824186169422101E-2</v>
      </c>
      <c r="E100" s="67">
        <f t="shared" si="12"/>
        <v>3.6549574430874164E-2</v>
      </c>
      <c r="F100" s="67">
        <f t="shared" si="12"/>
        <v>4.0390470474749279E-2</v>
      </c>
      <c r="G100" s="67">
        <f t="shared" si="12"/>
        <v>4.131002841223045E-2</v>
      </c>
      <c r="H100" s="67">
        <f t="shared" si="12"/>
        <v>4.3732761451502289E-2</v>
      </c>
      <c r="I100" s="67">
        <f t="shared" si="12"/>
        <v>4.5963575047029644E-2</v>
      </c>
      <c r="J100" s="67">
        <f t="shared" si="12"/>
        <v>5.2400438498990093E-2</v>
      </c>
      <c r="K100" s="67">
        <f t="shared" si="12"/>
        <v>5.1420364188468126E-2</v>
      </c>
      <c r="L100" s="67">
        <f t="shared" si="12"/>
        <v>5.1524128990353343E-2</v>
      </c>
      <c r="M100" s="67">
        <f t="shared" si="12"/>
        <v>5.1777130149938365E-2</v>
      </c>
      <c r="N100" s="67">
        <f t="shared" si="12"/>
        <v>5.398422995513881E-2</v>
      </c>
      <c r="P100" s="17">
        <f>AVERAGE(C100:N100)</f>
        <v>4.4793591464674258E-2</v>
      </c>
    </row>
    <row r="101" spans="2:16" x14ac:dyDescent="0.2">
      <c r="B101" s="2"/>
      <c r="C101" s="67"/>
      <c r="D101" s="67"/>
      <c r="E101" s="67"/>
      <c r="F101" s="67"/>
      <c r="G101" s="67"/>
      <c r="H101" s="67"/>
      <c r="I101" s="67"/>
      <c r="J101" s="67"/>
      <c r="K101" s="67"/>
      <c r="L101" s="67"/>
      <c r="M101" s="67"/>
      <c r="N101" s="67"/>
      <c r="P101" s="17"/>
    </row>
    <row r="102" spans="2:16" ht="21" x14ac:dyDescent="0.25">
      <c r="B102" s="90" t="s">
        <v>197</v>
      </c>
    </row>
    <row r="103" spans="2:16" x14ac:dyDescent="0.2">
      <c r="B103" t="s">
        <v>68</v>
      </c>
      <c r="C103" s="14">
        <f t="shared" ref="C103:N103" si="13">C10/C$10</f>
        <v>1</v>
      </c>
      <c r="D103" s="14">
        <f t="shared" si="13"/>
        <v>1</v>
      </c>
      <c r="E103" s="14">
        <f t="shared" si="13"/>
        <v>1</v>
      </c>
      <c r="F103" s="14">
        <f t="shared" si="13"/>
        <v>1</v>
      </c>
      <c r="G103" s="14">
        <f t="shared" si="13"/>
        <v>1</v>
      </c>
      <c r="H103" s="14">
        <f t="shared" si="13"/>
        <v>1</v>
      </c>
      <c r="I103" s="14">
        <f t="shared" si="13"/>
        <v>1</v>
      </c>
      <c r="J103" s="14">
        <f t="shared" si="13"/>
        <v>1</v>
      </c>
      <c r="K103" s="14">
        <f t="shared" si="13"/>
        <v>1</v>
      </c>
      <c r="L103" s="14">
        <f t="shared" si="13"/>
        <v>1</v>
      </c>
      <c r="M103" s="14">
        <f t="shared" si="13"/>
        <v>1</v>
      </c>
      <c r="N103" s="14">
        <f t="shared" si="13"/>
        <v>1</v>
      </c>
      <c r="P103" s="17">
        <f>AVERAGE(C103:N103)</f>
        <v>1</v>
      </c>
    </row>
    <row r="104" spans="2:16" x14ac:dyDescent="0.2">
      <c r="B104" s="1" t="s">
        <v>198</v>
      </c>
      <c r="C104" s="15">
        <f t="shared" ref="C104:N104" si="14">C11/C$10</f>
        <v>0.60333963881819797</v>
      </c>
      <c r="D104" s="15">
        <f t="shared" si="14"/>
        <v>0.59968472609891676</v>
      </c>
      <c r="E104" s="15">
        <f t="shared" si="14"/>
        <v>0.59239823505407063</v>
      </c>
      <c r="F104" s="15">
        <f t="shared" si="14"/>
        <v>0.58409131459856178</v>
      </c>
      <c r="G104" s="15">
        <f t="shared" si="14"/>
        <v>0.58191064228752321</v>
      </c>
      <c r="H104" s="15">
        <f t="shared" si="14"/>
        <v>0.57775031054697645</v>
      </c>
      <c r="I104" s="15">
        <f t="shared" si="14"/>
        <v>0.57803760926944281</v>
      </c>
      <c r="J104" s="15">
        <f t="shared" si="14"/>
        <v>0.57815748372563847</v>
      </c>
      <c r="K104" s="15">
        <f t="shared" si="14"/>
        <v>0.57164794324922608</v>
      </c>
      <c r="L104" s="15">
        <f t="shared" si="14"/>
        <v>0.56666040088638725</v>
      </c>
      <c r="M104" s="15">
        <f t="shared" si="14"/>
        <v>0.56538268185908547</v>
      </c>
      <c r="N104" s="15">
        <f t="shared" si="14"/>
        <v>0.56536568010575972</v>
      </c>
      <c r="P104" s="18">
        <f t="shared" ref="P104:P114" si="15">AVERAGE(C104:N104)</f>
        <v>0.58036888887498217</v>
      </c>
    </row>
    <row r="105" spans="2:16" x14ac:dyDescent="0.2">
      <c r="B105" s="2" t="s">
        <v>75</v>
      </c>
      <c r="C105" s="14">
        <f t="shared" ref="C105:N105" si="16">C12/C$10</f>
        <v>0.39666036118180215</v>
      </c>
      <c r="D105" s="14">
        <f t="shared" si="16"/>
        <v>0.40031527390108329</v>
      </c>
      <c r="E105" s="14">
        <f t="shared" si="16"/>
        <v>0.40760176494592942</v>
      </c>
      <c r="F105" s="14">
        <f t="shared" si="16"/>
        <v>0.41590868540143827</v>
      </c>
      <c r="G105" s="14">
        <f t="shared" si="16"/>
        <v>0.41808935771247679</v>
      </c>
      <c r="H105" s="14">
        <f t="shared" si="16"/>
        <v>0.42224968945302355</v>
      </c>
      <c r="I105" s="14">
        <f t="shared" si="16"/>
        <v>0.42196239073055719</v>
      </c>
      <c r="J105" s="14">
        <f t="shared" si="16"/>
        <v>0.42184251627436142</v>
      </c>
      <c r="K105" s="14">
        <f t="shared" si="16"/>
        <v>0.42835205675077398</v>
      </c>
      <c r="L105" s="14">
        <f t="shared" si="16"/>
        <v>0.43333959911361269</v>
      </c>
      <c r="M105" s="14">
        <f t="shared" si="16"/>
        <v>0.43461731814091453</v>
      </c>
      <c r="N105" s="14">
        <f t="shared" si="16"/>
        <v>0.43463431989424028</v>
      </c>
      <c r="P105" s="17">
        <f t="shared" si="15"/>
        <v>0.41963111112501777</v>
      </c>
    </row>
    <row r="106" spans="2:16" x14ac:dyDescent="0.2">
      <c r="B106" s="1" t="s">
        <v>199</v>
      </c>
      <c r="C106" s="14">
        <f t="shared" ref="C106:N106" si="17">C13/C$10</f>
        <v>0.30531313245212077</v>
      </c>
      <c r="D106" s="14">
        <f t="shared" si="17"/>
        <v>0.30267762601321657</v>
      </c>
      <c r="E106" s="14">
        <f t="shared" si="17"/>
        <v>0.31500313347130321</v>
      </c>
      <c r="F106" s="14">
        <f t="shared" si="17"/>
        <v>0.32553200218687894</v>
      </c>
      <c r="G106" s="14">
        <f t="shared" si="17"/>
        <v>0.33296317817712551</v>
      </c>
      <c r="H106" s="14">
        <f t="shared" si="17"/>
        <v>0.33863838246182099</v>
      </c>
      <c r="I106" s="14">
        <f t="shared" si="17"/>
        <v>0.34544038158099027</v>
      </c>
      <c r="J106" s="14">
        <f t="shared" si="17"/>
        <v>0.37779607507148505</v>
      </c>
      <c r="K106" s="14">
        <f t="shared" si="17"/>
        <v>0.37429975147841638</v>
      </c>
      <c r="L106" s="14">
        <f t="shared" si="17"/>
        <v>0.37039233492095852</v>
      </c>
      <c r="M106" s="14">
        <f t="shared" si="17"/>
        <v>0.37529586037000662</v>
      </c>
      <c r="N106" s="14">
        <f t="shared" si="17"/>
        <v>0.3811584806432271</v>
      </c>
      <c r="P106" s="17">
        <f t="shared" si="15"/>
        <v>0.34537586156896244</v>
      </c>
    </row>
    <row r="107" spans="2:16" x14ac:dyDescent="0.2">
      <c r="B107" s="1" t="s">
        <v>125</v>
      </c>
      <c r="C107" s="14">
        <f t="shared" ref="C107:N107" si="18">C14/C$10</f>
        <v>0.24253111105494718</v>
      </c>
      <c r="D107" s="14">
        <f t="shared" si="18"/>
        <v>0.24609164964591326</v>
      </c>
      <c r="E107" s="14">
        <f t="shared" si="18"/>
        <v>0.25571949602122018</v>
      </c>
      <c r="F107" s="14">
        <f t="shared" si="18"/>
        <v>0.26718565285300871</v>
      </c>
      <c r="G107" s="14">
        <f t="shared" si="18"/>
        <v>0.2706389721688478</v>
      </c>
      <c r="H107" s="14">
        <f t="shared" si="18"/>
        <v>0.27414937419612129</v>
      </c>
      <c r="I107" s="14">
        <f t="shared" si="18"/>
        <v>0.27854997057262426</v>
      </c>
      <c r="J107" s="14">
        <f t="shared" si="18"/>
        <v>0.30107878765905843</v>
      </c>
      <c r="K107" s="14">
        <f t="shared" si="18"/>
        <v>0.30470094933969083</v>
      </c>
      <c r="L107" s="14">
        <f t="shared" si="18"/>
        <v>0.30129401600333233</v>
      </c>
      <c r="M107" s="14">
        <f t="shared" si="18"/>
        <v>0.30336086646164417</v>
      </c>
      <c r="N107" s="14">
        <f t="shared" si="18"/>
        <v>0.31373666264529321</v>
      </c>
      <c r="P107" s="17">
        <f t="shared" si="15"/>
        <v>0.27991979238514181</v>
      </c>
    </row>
    <row r="108" spans="2:16" x14ac:dyDescent="0.2">
      <c r="B108" s="1" t="s">
        <v>126</v>
      </c>
      <c r="C108" s="14">
        <f t="shared" ref="C108:N108" si="19">C15/C$10</f>
        <v>5.311868762964965E-2</v>
      </c>
      <c r="D108" s="14">
        <f t="shared" si="19"/>
        <v>4.872890298262323E-2</v>
      </c>
      <c r="E108" s="14">
        <f t="shared" si="19"/>
        <v>4.9823104614218676E-2</v>
      </c>
      <c r="F108" s="14">
        <f t="shared" si="19"/>
        <v>4.9041618443060521E-2</v>
      </c>
      <c r="G108" s="14">
        <f t="shared" si="19"/>
        <v>5.5176587181342752E-2</v>
      </c>
      <c r="H108" s="14">
        <f t="shared" si="19"/>
        <v>5.5708298008889878E-2</v>
      </c>
      <c r="I108" s="14">
        <f t="shared" si="19"/>
        <v>5.4043465858828035E-2</v>
      </c>
      <c r="J108" s="14">
        <f t="shared" si="19"/>
        <v>6.4546936851756609E-2</v>
      </c>
      <c r="K108" s="14">
        <f t="shared" si="19"/>
        <v>6.0856346869420909E-2</v>
      </c>
      <c r="L108" s="14">
        <f t="shared" si="19"/>
        <v>5.9719946096639512E-2</v>
      </c>
      <c r="M108" s="14">
        <f t="shared" si="19"/>
        <v>6.0546941389680531E-2</v>
      </c>
      <c r="N108" s="14">
        <f t="shared" si="19"/>
        <v>5.7819283810239333E-2</v>
      </c>
      <c r="P108" s="17">
        <f t="shared" si="15"/>
        <v>5.5760843311362475E-2</v>
      </c>
    </row>
    <row r="109" spans="2:16" x14ac:dyDescent="0.2">
      <c r="B109" s="1" t="s">
        <v>127</v>
      </c>
      <c r="C109" s="15">
        <f t="shared" ref="C109:N109" si="20">C16/C$10</f>
        <v>9.6633337675239676E-3</v>
      </c>
      <c r="D109" s="15">
        <f t="shared" si="20"/>
        <v>7.857073384680037E-3</v>
      </c>
      <c r="E109" s="15">
        <f t="shared" si="20"/>
        <v>9.4605328358644009E-3</v>
      </c>
      <c r="F109" s="15">
        <f t="shared" si="20"/>
        <v>9.3047308908096697E-3</v>
      </c>
      <c r="G109" s="15">
        <f t="shared" si="20"/>
        <v>7.1476188269349369E-3</v>
      </c>
      <c r="H109" s="15">
        <f t="shared" si="20"/>
        <v>8.7807102568098049E-3</v>
      </c>
      <c r="I109" s="15">
        <f t="shared" si="20"/>
        <v>1.2846945149538009E-2</v>
      </c>
      <c r="J109" s="15">
        <f t="shared" si="20"/>
        <v>1.2170350560669998E-2</v>
      </c>
      <c r="K109" s="15">
        <f t="shared" si="20"/>
        <v>8.7424552693046234E-3</v>
      </c>
      <c r="L109" s="15">
        <f t="shared" si="20"/>
        <v>9.3783728209866583E-3</v>
      </c>
      <c r="M109" s="15">
        <f t="shared" si="20"/>
        <v>1.1388052518681916E-2</v>
      </c>
      <c r="N109" s="15">
        <f t="shared" si="20"/>
        <v>9.6025341876945971E-3</v>
      </c>
      <c r="P109" s="18">
        <f t="shared" si="15"/>
        <v>9.6952258724582168E-3</v>
      </c>
    </row>
    <row r="110" spans="2:16" x14ac:dyDescent="0.2">
      <c r="B110" s="2" t="s">
        <v>200</v>
      </c>
      <c r="C110" s="14">
        <f t="shared" ref="C110:N110" si="21">C17/C$10</f>
        <v>9.1347228729681346E-2</v>
      </c>
      <c r="D110" s="14">
        <f t="shared" si="21"/>
        <v>9.7637647887866733E-2</v>
      </c>
      <c r="E110" s="14">
        <f t="shared" si="21"/>
        <v>9.2598631474626172E-2</v>
      </c>
      <c r="F110" s="14">
        <f t="shared" si="21"/>
        <v>9.0376683214559342E-2</v>
      </c>
      <c r="G110" s="14">
        <f t="shared" si="21"/>
        <v>8.5126179535351301E-2</v>
      </c>
      <c r="H110" s="14">
        <f t="shared" si="21"/>
        <v>8.3611306991202561E-2</v>
      </c>
      <c r="I110" s="14">
        <f t="shared" si="21"/>
        <v>7.6522009149566889E-2</v>
      </c>
      <c r="J110" s="14">
        <f t="shared" si="21"/>
        <v>4.4046441202876381E-2</v>
      </c>
      <c r="K110" s="14">
        <f t="shared" si="21"/>
        <v>5.4052305272357604E-2</v>
      </c>
      <c r="L110" s="14">
        <f t="shared" si="21"/>
        <v>6.2947264192654215E-2</v>
      </c>
      <c r="M110" s="14">
        <f t="shared" si="21"/>
        <v>5.9321457770907915E-2</v>
      </c>
      <c r="N110" s="14">
        <f t="shared" si="21"/>
        <v>5.3475839251013173E-2</v>
      </c>
      <c r="P110" s="17">
        <f t="shared" si="15"/>
        <v>7.4255249556055294E-2</v>
      </c>
    </row>
    <row r="111" spans="2:16" x14ac:dyDescent="0.2">
      <c r="B111" s="1" t="s">
        <v>129</v>
      </c>
      <c r="C111" s="15">
        <f t="shared" ref="C111:N111" si="22">C18/C$10</f>
        <v>1.1295436915665276E-3</v>
      </c>
      <c r="D111" s="15">
        <f t="shared" si="22"/>
        <v>1.5341617072503822E-3</v>
      </c>
      <c r="E111" s="15">
        <f t="shared" si="22"/>
        <v>2.7618270323840617E-3</v>
      </c>
      <c r="F111" s="15">
        <f t="shared" si="22"/>
        <v>5.0302031641046531E-3</v>
      </c>
      <c r="G111" s="15">
        <f t="shared" si="22"/>
        <v>4.3331325107927258E-3</v>
      </c>
      <c r="H111" s="15">
        <f t="shared" si="22"/>
        <v>2.5512831686620024E-3</v>
      </c>
      <c r="I111" s="15">
        <f t="shared" si="22"/>
        <v>1.12473957675129E-3</v>
      </c>
      <c r="J111" s="15">
        <f t="shared" si="22"/>
        <v>8.5009268967991278E-4</v>
      </c>
      <c r="K111" s="15">
        <f t="shared" si="22"/>
        <v>1.7816637184916646E-3</v>
      </c>
      <c r="L111" s="15">
        <f t="shared" si="22"/>
        <v>5.851003274973326E-4</v>
      </c>
      <c r="M111" s="15">
        <f t="shared" si="22"/>
        <v>1.6906306857520086E-4</v>
      </c>
      <c r="N111" s="15">
        <f t="shared" si="22"/>
        <v>-3.0702102913448968E-5</v>
      </c>
      <c r="P111" s="18">
        <f t="shared" si="15"/>
        <v>1.8183423794035254E-3</v>
      </c>
    </row>
    <row r="112" spans="2:16" x14ac:dyDescent="0.2">
      <c r="B112" s="2" t="s">
        <v>201</v>
      </c>
      <c r="C112" s="14">
        <f t="shared" ref="C112:N112" si="23">C19/C$10</f>
        <v>9.0217685038114823E-2</v>
      </c>
      <c r="D112" s="14">
        <f t="shared" si="23"/>
        <v>9.6103486180616343E-2</v>
      </c>
      <c r="E112" s="14">
        <f t="shared" si="23"/>
        <v>8.983680444224211E-2</v>
      </c>
      <c r="F112" s="14">
        <f t="shared" si="23"/>
        <v>8.5346480050454698E-2</v>
      </c>
      <c r="G112" s="14">
        <f t="shared" si="23"/>
        <v>8.079304702455857E-2</v>
      </c>
      <c r="H112" s="14">
        <f t="shared" si="23"/>
        <v>8.1060023822540558E-2</v>
      </c>
      <c r="I112" s="14">
        <f t="shared" si="23"/>
        <v>7.5397269572815603E-2</v>
      </c>
      <c r="J112" s="14">
        <f t="shared" si="23"/>
        <v>4.3196348513196467E-2</v>
      </c>
      <c r="K112" s="14">
        <f t="shared" si="23"/>
        <v>5.2270641553865939E-2</v>
      </c>
      <c r="L112" s="14">
        <f t="shared" si="23"/>
        <v>6.2362163865156875E-2</v>
      </c>
      <c r="M112" s="14">
        <f t="shared" si="23"/>
        <v>5.915239470233271E-2</v>
      </c>
      <c r="N112" s="14">
        <f t="shared" si="23"/>
        <v>5.3506541353926615E-2</v>
      </c>
      <c r="P112" s="17">
        <f t="shared" si="15"/>
        <v>7.2436907176651771E-2</v>
      </c>
    </row>
    <row r="113" spans="2:16" x14ac:dyDescent="0.2">
      <c r="B113" s="1" t="s">
        <v>131</v>
      </c>
      <c r="C113" s="15">
        <f t="shared" ref="C113:N113" si="24">C20/C$19</f>
        <v>0.2355241892037496</v>
      </c>
      <c r="D113" s="15">
        <f t="shared" si="24"/>
        <v>0.21869808474479177</v>
      </c>
      <c r="E113" s="15">
        <f t="shared" si="24"/>
        <v>0.2276299112801014</v>
      </c>
      <c r="F113" s="15">
        <f t="shared" si="24"/>
        <v>0.22596116222652013</v>
      </c>
      <c r="G113" s="15">
        <f t="shared" si="24"/>
        <v>0.21102212809142454</v>
      </c>
      <c r="H113" s="15">
        <f t="shared" si="24"/>
        <v>0.22398887875233503</v>
      </c>
      <c r="I113" s="15">
        <f t="shared" si="24"/>
        <v>0.2107487488925604</v>
      </c>
      <c r="J113" s="15">
        <f t="shared" si="24"/>
        <v>0.18098288238542243</v>
      </c>
      <c r="K113" s="15">
        <f t="shared" si="24"/>
        <v>0.12769370248971337</v>
      </c>
      <c r="L113" s="15">
        <f t="shared" si="24"/>
        <v>0.19810372886152974</v>
      </c>
      <c r="M113" s="15">
        <f t="shared" si="24"/>
        <v>0.2183341398499879</v>
      </c>
      <c r="N113" s="15">
        <f t="shared" si="24"/>
        <v>0.19863637897863434</v>
      </c>
      <c r="P113" s="18">
        <f t="shared" si="15"/>
        <v>0.20644366131306424</v>
      </c>
    </row>
    <row r="114" spans="2:16" ht="16" thickBot="1" x14ac:dyDescent="0.25">
      <c r="B114" s="2" t="s">
        <v>132</v>
      </c>
      <c r="C114" s="16">
        <f t="shared" ref="C114:N114" si="25">C21/C$10</f>
        <v>6.8969237917673579E-2</v>
      </c>
      <c r="D114" s="16">
        <f t="shared" si="25"/>
        <v>7.5085837815617992E-2</v>
      </c>
      <c r="E114" s="16">
        <f t="shared" si="25"/>
        <v>6.9387260617366719E-2</v>
      </c>
      <c r="F114" s="16">
        <f t="shared" si="25"/>
        <v>6.6061490226311442E-2</v>
      </c>
      <c r="G114" s="16">
        <f t="shared" si="25"/>
        <v>6.3743926306445695E-2</v>
      </c>
      <c r="H114" s="16">
        <f t="shared" si="25"/>
        <v>6.2903479974892137E-2</v>
      </c>
      <c r="I114" s="16">
        <f t="shared" si="25"/>
        <v>5.9507389340429602E-2</v>
      </c>
      <c r="J114" s="16">
        <f t="shared" si="25"/>
        <v>3.5378548850752915E-2</v>
      </c>
      <c r="K114" s="16">
        <f t="shared" si="25"/>
        <v>4.5596009802340132E-2</v>
      </c>
      <c r="L114" s="16">
        <f t="shared" si="25"/>
        <v>5.0007986663595551E-2</v>
      </c>
      <c r="M114" s="16">
        <f t="shared" si="25"/>
        <v>4.6237407484931915E-2</v>
      </c>
      <c r="N114" s="16">
        <f t="shared" si="25"/>
        <v>4.2878195727712079E-2</v>
      </c>
      <c r="P114" s="19">
        <f t="shared" si="15"/>
        <v>5.7146397560672475E-2</v>
      </c>
    </row>
    <row r="115" spans="2:16" ht="16" thickTop="1" x14ac:dyDescent="0.2">
      <c r="B115" s="2"/>
      <c r="C115" s="67"/>
      <c r="D115" s="67"/>
      <c r="E115" s="67"/>
      <c r="F115" s="67"/>
      <c r="G115" s="67"/>
      <c r="H115" s="67"/>
      <c r="I115" s="67"/>
      <c r="J115" s="67"/>
      <c r="K115" s="67"/>
      <c r="L115" s="67"/>
      <c r="M115" s="67"/>
      <c r="N115" s="67"/>
      <c r="P115" s="17"/>
    </row>
    <row r="116" spans="2:16" ht="21" x14ac:dyDescent="0.25">
      <c r="B116" s="6" t="s">
        <v>202</v>
      </c>
    </row>
    <row r="117" spans="2:16" x14ac:dyDescent="0.2">
      <c r="B117" t="s">
        <v>203</v>
      </c>
      <c r="C117" s="14">
        <f t="shared" ref="C117:N117" si="26">C30/C10</f>
        <v>9.5023592104470159E-2</v>
      </c>
      <c r="D117" s="14">
        <f t="shared" si="26"/>
        <v>8.9464016016941844E-2</v>
      </c>
      <c r="E117" s="14">
        <f t="shared" si="26"/>
        <v>9.3439385548138867E-2</v>
      </c>
      <c r="F117" s="14">
        <f t="shared" si="26"/>
        <v>9.0387178706745452E-2</v>
      </c>
      <c r="G117" s="14">
        <f t="shared" si="26"/>
        <v>7.8420607957563462E-2</v>
      </c>
      <c r="H117" s="14">
        <f t="shared" si="26"/>
        <v>7.7648628971413836E-2</v>
      </c>
      <c r="I117" s="14">
        <f t="shared" si="26"/>
        <v>8.8221647716399537E-2</v>
      </c>
      <c r="J117" s="14">
        <f t="shared" si="26"/>
        <v>9.4944190603947431E-2</v>
      </c>
      <c r="K117" s="14">
        <f t="shared" si="26"/>
        <v>9.2000375470819448E-2</v>
      </c>
      <c r="L117" s="14">
        <f t="shared" si="26"/>
        <v>9.6487721276913074E-2</v>
      </c>
      <c r="M117" s="14">
        <f t="shared" si="26"/>
        <v>9.3343387666088809E-2</v>
      </c>
      <c r="N117" s="14">
        <f t="shared" si="26"/>
        <v>9.1642165184537702E-2</v>
      </c>
    </row>
    <row r="118" spans="2:16" x14ac:dyDescent="0.2">
      <c r="B118" t="s">
        <v>204</v>
      </c>
      <c r="C118" s="14">
        <f t="shared" ref="C118:N118" si="27">C31/C11</f>
        <v>1.8520629120507317</v>
      </c>
      <c r="D118" s="14">
        <f t="shared" si="27"/>
        <v>2.0566249059005699</v>
      </c>
      <c r="E118" s="14">
        <f t="shared" si="27"/>
        <v>2.0303806110257723</v>
      </c>
      <c r="F118" s="14">
        <f t="shared" si="27"/>
        <v>2.1110806183923367</v>
      </c>
      <c r="G118" s="14">
        <f t="shared" si="27"/>
        <v>1.8089837563980433</v>
      </c>
      <c r="H118" s="14">
        <f t="shared" si="27"/>
        <v>1.7866017742805509</v>
      </c>
      <c r="I118" s="14">
        <f t="shared" si="27"/>
        <v>1.7263026717908916</v>
      </c>
      <c r="J118" s="14">
        <f t="shared" si="27"/>
        <v>1.8253932892063915</v>
      </c>
      <c r="K118" s="14">
        <f t="shared" si="27"/>
        <v>1.6454501540820996</v>
      </c>
      <c r="L118" s="14">
        <f t="shared" si="27"/>
        <v>1.615442957148753</v>
      </c>
      <c r="M118" s="14">
        <f t="shared" si="27"/>
        <v>1.6549277279228423</v>
      </c>
      <c r="N118" s="14">
        <f t="shared" si="27"/>
        <v>1.8089890511823286</v>
      </c>
    </row>
    <row r="119" spans="2:16" x14ac:dyDescent="0.2">
      <c r="B119" t="s">
        <v>205</v>
      </c>
      <c r="C119" s="14">
        <f t="shared" ref="C119:N119" si="28">C35/C13</f>
        <v>3.6184834726794572</v>
      </c>
      <c r="D119" s="14">
        <f t="shared" si="28"/>
        <v>3.570130232332541</v>
      </c>
      <c r="E119" s="14">
        <f t="shared" si="28"/>
        <v>3.3466939257065857</v>
      </c>
      <c r="F119" s="14">
        <f t="shared" si="28"/>
        <v>3.5337241338882701</v>
      </c>
      <c r="G119" s="14">
        <f t="shared" si="28"/>
        <v>3.2963126535725182</v>
      </c>
      <c r="H119" s="14">
        <f t="shared" si="28"/>
        <v>3.2696076264951555</v>
      </c>
      <c r="I119" s="14">
        <f t="shared" si="28"/>
        <v>3.4139875562802633</v>
      </c>
      <c r="J119" s="14">
        <f t="shared" si="28"/>
        <v>3.2391483322221548</v>
      </c>
      <c r="K119" s="14">
        <f t="shared" si="28"/>
        <v>3.2082928551428607</v>
      </c>
      <c r="L119" s="14">
        <f t="shared" si="28"/>
        <v>3.1982983326423735</v>
      </c>
      <c r="M119" s="14">
        <f t="shared" si="28"/>
        <v>3.2097327393678512</v>
      </c>
      <c r="N119" s="14">
        <f t="shared" si="28"/>
        <v>3.153837588634</v>
      </c>
    </row>
    <row r="121" spans="2:16" x14ac:dyDescent="0.2">
      <c r="B121" t="s">
        <v>206</v>
      </c>
      <c r="C121" s="14">
        <f t="shared" ref="C121:N121" si="29">C46/C11</f>
        <v>1.1092550702782127</v>
      </c>
      <c r="D121" s="14">
        <f t="shared" si="29"/>
        <v>1.1784584218224994</v>
      </c>
      <c r="E121" s="14">
        <f t="shared" si="29"/>
        <v>0.98737139597354651</v>
      </c>
      <c r="F121" s="14">
        <f t="shared" si="29"/>
        <v>0.96523013290469284</v>
      </c>
      <c r="G121" s="14">
        <f t="shared" si="29"/>
        <v>0.87677315011930756</v>
      </c>
      <c r="H121" s="14">
        <f t="shared" si="29"/>
        <v>1.0128194969722644</v>
      </c>
      <c r="I121" s="14">
        <f t="shared" si="29"/>
        <v>1.1030175355309617</v>
      </c>
      <c r="J121" s="14">
        <f t="shared" si="29"/>
        <v>1.1209381843265196</v>
      </c>
      <c r="K121" s="14">
        <f t="shared" si="29"/>
        <v>1.0221868657963247</v>
      </c>
      <c r="L121" s="14">
        <f t="shared" si="29"/>
        <v>1.0881647082642247</v>
      </c>
      <c r="M121" s="14">
        <f t="shared" si="29"/>
        <v>1.1673728277241258</v>
      </c>
      <c r="N121" s="14">
        <f t="shared" si="29"/>
        <v>1.2695437593336474</v>
      </c>
    </row>
    <row r="122" spans="2:16" x14ac:dyDescent="0.2">
      <c r="B122" t="s">
        <v>207</v>
      </c>
      <c r="C122" s="14">
        <f t="shared" ref="C122:N122" si="30">C47/SUM(C11,C13,C14,C15,C16,C18,C20)</f>
        <v>0.2135141276342139</v>
      </c>
      <c r="D122" s="14">
        <f t="shared" si="30"/>
        <v>0.2184767610992267</v>
      </c>
      <c r="E122" s="14">
        <f t="shared" si="30"/>
        <v>0.21501213557621501</v>
      </c>
      <c r="F122" s="14">
        <f t="shared" si="30"/>
        <v>0.22576991724317658</v>
      </c>
      <c r="G122" s="14">
        <f t="shared" si="30"/>
        <v>0.21327757999620822</v>
      </c>
      <c r="H122" s="14">
        <f t="shared" si="30"/>
        <v>0.21810481772899981</v>
      </c>
      <c r="I122" s="14">
        <f t="shared" si="30"/>
        <v>0.22969986774975221</v>
      </c>
      <c r="J122" s="14">
        <f t="shared" si="30"/>
        <v>0.23662843919329987</v>
      </c>
      <c r="K122" s="14">
        <f t="shared" si="30"/>
        <v>0.1968563182283336</v>
      </c>
      <c r="L122" s="14">
        <f t="shared" si="30"/>
        <v>0.20203130775127842</v>
      </c>
      <c r="M122" s="14">
        <f t="shared" si="30"/>
        <v>0.20593166324424261</v>
      </c>
      <c r="N122" s="14">
        <f t="shared" si="30"/>
        <v>0.1993376665701776</v>
      </c>
    </row>
  </sheetData>
  <pageMargins left="0.7" right="0.7" top="0.75" bottom="0.75" header="0.3" footer="0.3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N9"/>
  <sheetViews>
    <sheetView showGridLines="0" zoomScale="130" zoomScaleNormal="130" workbookViewId="0"/>
  </sheetViews>
  <sheetFormatPr baseColWidth="10" defaultColWidth="8.83203125" defaultRowHeight="15" x14ac:dyDescent="0.2"/>
  <cols>
    <col min="1" max="1" width="1.83203125" customWidth="1"/>
    <col min="2" max="2" width="32.83203125" bestFit="1" customWidth="1"/>
  </cols>
  <sheetData>
    <row r="1" spans="1:14" x14ac:dyDescent="0.2">
      <c r="A1" s="4"/>
      <c r="B1" s="4"/>
    </row>
    <row r="2" spans="1:14" ht="21" x14ac:dyDescent="0.25">
      <c r="B2" s="6" t="s">
        <v>208</v>
      </c>
      <c r="C2" s="66" t="s">
        <v>106</v>
      </c>
      <c r="D2" s="66" t="s">
        <v>107</v>
      </c>
      <c r="E2" s="66" t="s">
        <v>108</v>
      </c>
      <c r="F2" s="66" t="s">
        <v>109</v>
      </c>
      <c r="G2" s="66" t="s">
        <v>110</v>
      </c>
      <c r="H2" s="66" t="s">
        <v>111</v>
      </c>
      <c r="I2" s="66" t="s">
        <v>112</v>
      </c>
      <c r="J2" s="66" t="s">
        <v>113</v>
      </c>
      <c r="K2" s="66" t="s">
        <v>114</v>
      </c>
      <c r="L2" s="66" t="s">
        <v>115</v>
      </c>
      <c r="M2" s="66" t="s">
        <v>116</v>
      </c>
      <c r="N2" s="66" t="s">
        <v>47</v>
      </c>
    </row>
    <row r="4" spans="1:14" ht="16" x14ac:dyDescent="0.2">
      <c r="B4" s="65" t="s">
        <v>135</v>
      </c>
    </row>
    <row r="5" spans="1:14" x14ac:dyDescent="0.2">
      <c r="B5" s="3" t="s">
        <v>209</v>
      </c>
      <c r="C5" s="8">
        <f>'Financial Statements &amp; Metrics'!C41-'Financial Statements &amp; Metrics'!C61</f>
        <v>0</v>
      </c>
      <c r="D5" s="8">
        <f>'Financial Statements &amp; Metrics'!D41-'Financial Statements &amp; Metrics'!D61</f>
        <v>0</v>
      </c>
      <c r="E5" s="8">
        <f>'Financial Statements &amp; Metrics'!E41-'Financial Statements &amp; Metrics'!E61</f>
        <v>0</v>
      </c>
      <c r="F5" s="8">
        <f>'Financial Statements &amp; Metrics'!F41-'Financial Statements &amp; Metrics'!F61</f>
        <v>0</v>
      </c>
      <c r="G5" s="8">
        <f>'Financial Statements &amp; Metrics'!G41-'Financial Statements &amp; Metrics'!G61</f>
        <v>0</v>
      </c>
      <c r="H5" s="8">
        <f>'Financial Statements &amp; Metrics'!H41-'Financial Statements &amp; Metrics'!H61</f>
        <v>0</v>
      </c>
      <c r="I5" s="8">
        <f>'Financial Statements &amp; Metrics'!I41-'Financial Statements &amp; Metrics'!I61</f>
        <v>0</v>
      </c>
      <c r="J5" s="8">
        <f>'Financial Statements &amp; Metrics'!J41-'Financial Statements &amp; Metrics'!J61</f>
        <v>0</v>
      </c>
      <c r="K5" s="8">
        <f>'Financial Statements &amp; Metrics'!K41-'Financial Statements &amp; Metrics'!K61</f>
        <v>0</v>
      </c>
      <c r="L5" s="8">
        <f>'Financial Statements &amp; Metrics'!L41-'Financial Statements &amp; Metrics'!L61</f>
        <v>0</v>
      </c>
      <c r="M5" s="8">
        <f>'Financial Statements &amp; Metrics'!M41-'Financial Statements &amp; Metrics'!M61</f>
        <v>0</v>
      </c>
      <c r="N5" s="8">
        <f>'Financial Statements &amp; Metrics'!N41-'Financial Statements &amp; Metrics'!N61</f>
        <v>0</v>
      </c>
    </row>
    <row r="7" spans="1:14" x14ac:dyDescent="0.2">
      <c r="B7" t="s">
        <v>175</v>
      </c>
    </row>
    <row r="8" spans="1:14" x14ac:dyDescent="0.2">
      <c r="B8" s="3" t="s">
        <v>210</v>
      </c>
      <c r="C8" s="8">
        <f>'Financial Statements &amp; Metrics'!C76-'Financial Statements &amp; Metrics'!C21</f>
        <v>0</v>
      </c>
      <c r="D8" s="8">
        <f>'Financial Statements &amp; Metrics'!D76-'Financial Statements &amp; Metrics'!D21</f>
        <v>0</v>
      </c>
      <c r="E8" s="8">
        <f>'Financial Statements &amp; Metrics'!E76-'Financial Statements &amp; Metrics'!E21</f>
        <v>0</v>
      </c>
      <c r="F8" s="8">
        <f>'Financial Statements &amp; Metrics'!F76-'Financial Statements &amp; Metrics'!F21</f>
        <v>0</v>
      </c>
      <c r="G8" s="8">
        <f>'Financial Statements &amp; Metrics'!G76-'Financial Statements &amp; Metrics'!G21</f>
        <v>0</v>
      </c>
      <c r="H8" s="8">
        <f>'Financial Statements &amp; Metrics'!H76-'Financial Statements &amp; Metrics'!H21</f>
        <v>0</v>
      </c>
      <c r="I8" s="8">
        <f>'Financial Statements &amp; Metrics'!I76-'Financial Statements &amp; Metrics'!I21</f>
        <v>0</v>
      </c>
      <c r="J8" s="8">
        <f>'Financial Statements &amp; Metrics'!J76-'Financial Statements &amp; Metrics'!J21</f>
        <v>0</v>
      </c>
      <c r="K8" s="8">
        <f>'Financial Statements &amp; Metrics'!K76-'Financial Statements &amp; Metrics'!K21</f>
        <v>0</v>
      </c>
      <c r="L8" s="8">
        <f>'Financial Statements &amp; Metrics'!L76-'Financial Statements &amp; Metrics'!L21</f>
        <v>0</v>
      </c>
      <c r="M8" s="8">
        <f>'Financial Statements &amp; Metrics'!M76-'Financial Statements &amp; Metrics'!M21</f>
        <v>0</v>
      </c>
      <c r="N8" s="8">
        <f>'Financial Statements &amp; Metrics'!N76-'Financial Statements &amp; Metrics'!N21</f>
        <v>0</v>
      </c>
    </row>
    <row r="9" spans="1:14" x14ac:dyDescent="0.2">
      <c r="B9" s="3" t="s">
        <v>211</v>
      </c>
      <c r="D9" s="8">
        <f>'Financial Statements &amp; Metrics'!D98-('Financial Statements &amp; Metrics'!D28-'Financial Statements &amp; Metrics'!C28)</f>
        <v>0</v>
      </c>
      <c r="E9" s="8">
        <f>'Financial Statements &amp; Metrics'!E98-('Financial Statements &amp; Metrics'!E28-'Financial Statements &amp; Metrics'!D28)</f>
        <v>0</v>
      </c>
      <c r="F9" s="8">
        <f>'Financial Statements &amp; Metrics'!F98-('Financial Statements &amp; Metrics'!F28-'Financial Statements &amp; Metrics'!E28)</f>
        <v>0</v>
      </c>
      <c r="G9" s="8">
        <f>'Financial Statements &amp; Metrics'!G98-('Financial Statements &amp; Metrics'!G28-'Financial Statements &amp; Metrics'!F28)</f>
        <v>0</v>
      </c>
      <c r="H9" s="8">
        <f>'Financial Statements &amp; Metrics'!H98-('Financial Statements &amp; Metrics'!H28-'Financial Statements &amp; Metrics'!G28)</f>
        <v>0</v>
      </c>
      <c r="I9" s="8">
        <f>'Financial Statements &amp; Metrics'!I98-('Financial Statements &amp; Metrics'!I28-'Financial Statements &amp; Metrics'!H28)</f>
        <v>0</v>
      </c>
      <c r="J9" s="8">
        <f>'Financial Statements &amp; Metrics'!J98-('Financial Statements &amp; Metrics'!J28-'Financial Statements &amp; Metrics'!I28)</f>
        <v>0</v>
      </c>
      <c r="K9" s="8">
        <f>'Financial Statements &amp; Metrics'!K98-('Financial Statements &amp; Metrics'!K28-'Financial Statements &amp; Metrics'!J28)</f>
        <v>0</v>
      </c>
      <c r="L9" s="8">
        <f>'Financial Statements &amp; Metrics'!L98-('Financial Statements &amp; Metrics'!L28-'Financial Statements &amp; Metrics'!K28)</f>
        <v>0</v>
      </c>
      <c r="M9" s="8">
        <f>'Financial Statements &amp; Metrics'!M98-('Financial Statements &amp; Metrics'!M28-'Financial Statements &amp; Metrics'!L28)</f>
        <v>0</v>
      </c>
      <c r="N9" s="8">
        <f>'Financial Statements &amp; Metrics'!N98-('Financial Statements &amp; Metrics'!N28-'Financial Statements &amp; Metrics'!M28)</f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B6C252-8A9E-F14E-B2BD-ACD3858F73D4}">
  <sheetPr>
    <tabColor theme="9"/>
  </sheetPr>
  <dimension ref="A1"/>
  <sheetViews>
    <sheetView workbookViewId="0">
      <selection activeCell="T59" sqref="T59"/>
    </sheetView>
  </sheetViews>
  <sheetFormatPr baseColWidth="10" defaultRowHeight="15" x14ac:dyDescent="0.2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N107"/>
  <sheetViews>
    <sheetView showGridLines="0" zoomScale="130" zoomScaleNormal="130" workbookViewId="0"/>
  </sheetViews>
  <sheetFormatPr baseColWidth="10" defaultColWidth="9.1640625" defaultRowHeight="15" outlineLevelRow="2" x14ac:dyDescent="0.2"/>
  <cols>
    <col min="1" max="1" width="1.6640625" customWidth="1"/>
    <col min="2" max="2" width="50.33203125" customWidth="1"/>
    <col min="3" max="3" width="8.5" customWidth="1"/>
    <col min="4" max="4" width="7.83203125" customWidth="1"/>
    <col min="5" max="6" width="8" customWidth="1"/>
    <col min="7" max="7" width="8.5" customWidth="1"/>
    <col min="8" max="8" width="7.83203125" customWidth="1"/>
    <col min="9" max="10" width="8" customWidth="1"/>
    <col min="11" max="11" width="8.5" customWidth="1"/>
    <col min="12" max="12" width="7.83203125" customWidth="1"/>
    <col min="13" max="14" width="8" customWidth="1"/>
  </cols>
  <sheetData>
    <row r="1" spans="2:14" ht="15" customHeight="1" x14ac:dyDescent="0.2">
      <c r="B1" s="112" t="s">
        <v>262</v>
      </c>
    </row>
    <row r="2" spans="2:14" ht="15" customHeight="1" x14ac:dyDescent="0.2">
      <c r="B2" s="127" t="s">
        <v>364</v>
      </c>
    </row>
    <row r="3" spans="2:14" ht="15" customHeight="1" x14ac:dyDescent="0.2">
      <c r="B3" s="113"/>
      <c r="C3" s="113"/>
      <c r="D3" s="113"/>
      <c r="E3" s="113"/>
      <c r="F3" s="113"/>
      <c r="G3" s="113"/>
      <c r="H3" s="113"/>
      <c r="I3" s="113"/>
      <c r="J3" s="113"/>
      <c r="K3" s="113"/>
      <c r="L3" s="113"/>
      <c r="M3" s="113"/>
      <c r="N3" s="113"/>
    </row>
    <row r="4" spans="2:14" ht="15" customHeight="1" x14ac:dyDescent="0.2"/>
    <row r="5" spans="2:14" ht="15" customHeight="1" x14ac:dyDescent="0.2">
      <c r="B5" s="114" t="s">
        <v>263</v>
      </c>
      <c r="C5" s="114"/>
      <c r="D5" s="114"/>
      <c r="E5" s="114"/>
      <c r="F5" s="114"/>
      <c r="G5" s="114"/>
      <c r="H5" s="114"/>
      <c r="I5" s="114"/>
      <c r="J5" s="114"/>
      <c r="K5" s="114"/>
      <c r="L5" s="114"/>
      <c r="M5" s="114"/>
      <c r="N5" s="114"/>
    </row>
    <row r="6" spans="2:14" ht="15" customHeight="1" x14ac:dyDescent="0.2">
      <c r="B6" s="114" t="s">
        <v>264</v>
      </c>
      <c r="C6" s="114"/>
      <c r="D6" s="114"/>
      <c r="E6" s="114"/>
      <c r="F6" s="114"/>
      <c r="G6" s="114"/>
      <c r="H6" s="114"/>
      <c r="I6" s="114"/>
      <c r="J6" s="114"/>
      <c r="K6" s="114"/>
      <c r="L6" s="114"/>
      <c r="M6" s="114"/>
      <c r="N6" s="114"/>
    </row>
    <row r="7" spans="2:14" ht="15" customHeight="1" x14ac:dyDescent="0.2">
      <c r="B7" s="114" t="s">
        <v>265</v>
      </c>
      <c r="C7" s="114"/>
      <c r="D7" s="114"/>
      <c r="E7" s="114"/>
      <c r="F7" s="114"/>
      <c r="G7" s="114"/>
      <c r="H7" s="114"/>
      <c r="I7" s="114"/>
      <c r="J7" s="114"/>
      <c r="K7" s="114"/>
      <c r="L7" s="114"/>
      <c r="M7" s="114"/>
      <c r="N7" s="114"/>
    </row>
    <row r="8" spans="2:14" ht="15" customHeight="1" x14ac:dyDescent="0.2">
      <c r="B8" s="114"/>
      <c r="C8" s="114" t="s">
        <v>266</v>
      </c>
      <c r="D8" s="114" t="s">
        <v>267</v>
      </c>
      <c r="E8" s="114" t="s">
        <v>268</v>
      </c>
      <c r="F8" s="114" t="s">
        <v>269</v>
      </c>
      <c r="G8" s="114" t="s">
        <v>270</v>
      </c>
      <c r="H8" s="114" t="s">
        <v>271</v>
      </c>
      <c r="I8" s="114" t="s">
        <v>272</v>
      </c>
      <c r="J8" s="114" t="s">
        <v>273</v>
      </c>
      <c r="K8" s="114" t="s">
        <v>274</v>
      </c>
      <c r="L8" s="114" t="s">
        <v>275</v>
      </c>
      <c r="M8" s="114" t="s">
        <v>276</v>
      </c>
      <c r="N8" s="114" t="s">
        <v>277</v>
      </c>
    </row>
    <row r="9" spans="2:14" ht="15" customHeight="1" x14ac:dyDescent="0.2">
      <c r="B9" s="114"/>
      <c r="C9" s="114" t="s">
        <v>278</v>
      </c>
      <c r="D9" s="114" t="s">
        <v>278</v>
      </c>
      <c r="E9" s="114" t="s">
        <v>278</v>
      </c>
      <c r="F9" s="114" t="s">
        <v>278</v>
      </c>
      <c r="G9" s="114" t="s">
        <v>278</v>
      </c>
      <c r="H9" s="114" t="s">
        <v>278</v>
      </c>
      <c r="I9" s="114" t="s">
        <v>278</v>
      </c>
      <c r="J9" s="114" t="s">
        <v>278</v>
      </c>
      <c r="K9" s="114" t="s">
        <v>278</v>
      </c>
      <c r="L9" s="114" t="s">
        <v>278</v>
      </c>
      <c r="M9" s="114" t="s">
        <v>278</v>
      </c>
      <c r="N9" s="114" t="s">
        <v>278</v>
      </c>
    </row>
    <row r="10" spans="2:14" ht="15" customHeight="1" x14ac:dyDescent="0.2">
      <c r="B10" s="115" t="s">
        <v>279</v>
      </c>
      <c r="C10" s="115"/>
      <c r="D10" s="115"/>
      <c r="E10" s="115"/>
      <c r="F10" s="115"/>
      <c r="G10" s="115"/>
      <c r="H10" s="115"/>
      <c r="I10" s="115"/>
      <c r="J10" s="115"/>
      <c r="K10" s="115"/>
      <c r="L10" s="115"/>
      <c r="M10" s="115"/>
      <c r="N10" s="115"/>
    </row>
    <row r="11" spans="2:14" ht="15" customHeight="1" outlineLevel="1" x14ac:dyDescent="0.2">
      <c r="B11" s="1" t="s">
        <v>280</v>
      </c>
      <c r="C11" s="116">
        <v>37.196179999999998</v>
      </c>
      <c r="D11" s="116">
        <v>36.559756999999998</v>
      </c>
      <c r="E11" s="116">
        <v>36.355069</v>
      </c>
      <c r="F11" s="116">
        <v>36.878953000000003</v>
      </c>
      <c r="G11" s="116">
        <v>37.221013999999997</v>
      </c>
      <c r="H11" s="116">
        <v>37.549968</v>
      </c>
      <c r="I11" s="116">
        <v>37.673115000000003</v>
      </c>
      <c r="J11" s="116">
        <v>37.540270999999997</v>
      </c>
      <c r="K11" s="116">
        <v>37.543303000000002</v>
      </c>
      <c r="L11" s="116">
        <v>37.628321</v>
      </c>
      <c r="M11" s="116">
        <v>37.802216999999999</v>
      </c>
      <c r="N11" s="116">
        <v>38.070008000000001</v>
      </c>
    </row>
    <row r="12" spans="2:14" ht="15" customHeight="1" outlineLevel="1" x14ac:dyDescent="0.2">
      <c r="B12" s="117" t="s">
        <v>281</v>
      </c>
      <c r="C12" s="118">
        <v>26.910208000000001</v>
      </c>
      <c r="D12" s="118">
        <v>26.779705</v>
      </c>
      <c r="E12" s="118">
        <v>26.672177000000001</v>
      </c>
      <c r="F12" s="118">
        <v>26.668969000000001</v>
      </c>
      <c r="G12" s="118">
        <v>27.238319000000001</v>
      </c>
      <c r="H12" s="118">
        <v>27.878871</v>
      </c>
      <c r="I12" s="118">
        <v>28.319315</v>
      </c>
      <c r="J12" s="118">
        <v>29.218575000000001</v>
      </c>
      <c r="K12" s="118">
        <v>29.963698999999998</v>
      </c>
      <c r="L12" s="118">
        <v>30.588659</v>
      </c>
      <c r="M12" s="118">
        <v>31.232658000000001</v>
      </c>
      <c r="N12" s="118">
        <v>31.342528999999999</v>
      </c>
    </row>
    <row r="13" spans="2:14" ht="15" customHeight="1" outlineLevel="1" x14ac:dyDescent="0.2">
      <c r="B13" s="1" t="s">
        <v>282</v>
      </c>
      <c r="C13" s="116">
        <v>10.285971999999999</v>
      </c>
      <c r="D13" s="116">
        <v>9.7800519999999995</v>
      </c>
      <c r="E13" s="116">
        <v>9.6828920000000007</v>
      </c>
      <c r="F13" s="116">
        <v>10.209984</v>
      </c>
      <c r="G13" s="116">
        <v>9.9826949999999997</v>
      </c>
      <c r="H13" s="116">
        <v>9.6710960000000004</v>
      </c>
      <c r="I13" s="116">
        <v>9.3537999999999997</v>
      </c>
      <c r="J13" s="116">
        <v>8.3216959999999993</v>
      </c>
      <c r="K13" s="116">
        <v>7.5796039999999998</v>
      </c>
      <c r="L13" s="116">
        <v>7.0396619999999999</v>
      </c>
      <c r="M13" s="116">
        <v>6.5695589999999999</v>
      </c>
      <c r="N13" s="116">
        <v>6.7274789999999998</v>
      </c>
    </row>
    <row r="14" spans="2:14" ht="15" customHeight="1" outlineLevel="1" x14ac:dyDescent="0.2">
      <c r="B14" s="1" t="s">
        <v>283</v>
      </c>
      <c r="C14" s="116">
        <v>7.5653649999999999</v>
      </c>
      <c r="D14" s="116">
        <v>7.0930619999999998</v>
      </c>
      <c r="E14" s="116">
        <v>6.7501480000000003</v>
      </c>
      <c r="F14" s="116">
        <v>6.99254</v>
      </c>
      <c r="G14" s="116">
        <v>6.8559510000000001</v>
      </c>
      <c r="H14" s="116">
        <v>6.5485519999999999</v>
      </c>
      <c r="I14" s="116">
        <v>6.301463</v>
      </c>
      <c r="J14" s="116">
        <v>5.57287</v>
      </c>
      <c r="K14" s="116">
        <v>5.1146459999999996</v>
      </c>
      <c r="L14" s="116">
        <v>4.7807740000000001</v>
      </c>
      <c r="M14" s="116">
        <v>4.4460389999999999</v>
      </c>
      <c r="N14" s="116">
        <v>4.6203459999999996</v>
      </c>
    </row>
    <row r="15" spans="2:14" ht="15" customHeight="1" outlineLevel="1" x14ac:dyDescent="0.2">
      <c r="B15" s="117" t="s">
        <v>284</v>
      </c>
      <c r="C15" s="119">
        <v>-7.2202580000000003</v>
      </c>
      <c r="D15" s="119">
        <v>-11.185281</v>
      </c>
      <c r="E15" s="119">
        <v>-12.323048999999999</v>
      </c>
      <c r="F15" s="119">
        <v>-8.0701649999999994</v>
      </c>
      <c r="G15" s="119">
        <v>-2.9609269999999999</v>
      </c>
      <c r="H15" s="118">
        <v>1.3567689999999999</v>
      </c>
      <c r="I15" s="118">
        <v>5.8137239999999997</v>
      </c>
      <c r="J15" s="118">
        <v>5.7993370000000004</v>
      </c>
      <c r="K15" s="118">
        <v>4.1219190000000001</v>
      </c>
      <c r="L15" s="118">
        <v>3.9753229999999999</v>
      </c>
      <c r="M15" s="118">
        <v>2.8005620000000002</v>
      </c>
      <c r="N15" s="118">
        <v>3.5084620000000002</v>
      </c>
    </row>
    <row r="16" spans="2:14" ht="15" customHeight="1" outlineLevel="1" x14ac:dyDescent="0.2">
      <c r="B16" s="1" t="s">
        <v>285</v>
      </c>
      <c r="C16" s="120">
        <v>-95.438332000000003</v>
      </c>
      <c r="D16" s="120">
        <v>-157.693265</v>
      </c>
      <c r="E16" s="120">
        <v>-182.559687</v>
      </c>
      <c r="F16" s="120">
        <v>-115.411057</v>
      </c>
      <c r="G16" s="120">
        <v>-43.187691000000001</v>
      </c>
      <c r="H16" s="116">
        <v>20.718615</v>
      </c>
      <c r="I16" s="116">
        <v>92.259901999999997</v>
      </c>
      <c r="J16" s="116">
        <v>104.063745</v>
      </c>
      <c r="K16" s="116">
        <v>80.590498999999994</v>
      </c>
      <c r="L16" s="116">
        <v>83.152282999999997</v>
      </c>
      <c r="M16" s="116">
        <v>62.990039000000003</v>
      </c>
      <c r="N16" s="116">
        <v>75.935046999999997</v>
      </c>
    </row>
    <row r="17" spans="2:14" ht="15" customHeight="1" outlineLevel="1" x14ac:dyDescent="0.2">
      <c r="B17" s="117" t="s">
        <v>286</v>
      </c>
      <c r="C17" s="118">
        <v>12.574265</v>
      </c>
      <c r="D17" s="118">
        <v>12.53017</v>
      </c>
      <c r="E17" s="118">
        <v>10.961912999999999</v>
      </c>
      <c r="F17" s="118">
        <v>10.707067</v>
      </c>
      <c r="G17" s="118">
        <v>11.361122999999999</v>
      </c>
      <c r="H17" s="118">
        <v>11.841746000000001</v>
      </c>
      <c r="I17" s="118">
        <v>12.404006000000001</v>
      </c>
      <c r="J17" s="118">
        <v>12.406601999999999</v>
      </c>
      <c r="K17" s="118">
        <v>11.845264999999999</v>
      </c>
      <c r="L17" s="118">
        <v>11.263368</v>
      </c>
      <c r="M17" s="118">
        <v>10.991897</v>
      </c>
      <c r="N17" s="118">
        <v>10.028031</v>
      </c>
    </row>
    <row r="18" spans="2:14" ht="15" customHeight="1" outlineLevel="1" x14ac:dyDescent="0.2">
      <c r="B18" s="1" t="s">
        <v>287</v>
      </c>
      <c r="C18" s="116">
        <v>8.1184170000000009</v>
      </c>
      <c r="D18" s="116">
        <v>7.3324439999999997</v>
      </c>
      <c r="E18" s="116">
        <v>7.0834210000000004</v>
      </c>
      <c r="F18" s="116">
        <v>7.3792949999999999</v>
      </c>
      <c r="G18" s="116">
        <v>7.2617149999999997</v>
      </c>
      <c r="H18" s="116">
        <v>6.6488319999999996</v>
      </c>
      <c r="I18" s="116">
        <v>6.2623850000000001</v>
      </c>
      <c r="J18" s="116">
        <v>5.4578579999999999</v>
      </c>
      <c r="K18" s="116">
        <v>4.992032</v>
      </c>
      <c r="L18" s="116">
        <v>4.5128589999999997</v>
      </c>
      <c r="M18" s="116">
        <v>4.0849039999999999</v>
      </c>
      <c r="N18" s="116">
        <v>4.23909</v>
      </c>
    </row>
    <row r="19" spans="2:14" ht="15" customHeight="1" outlineLevel="1" x14ac:dyDescent="0.2">
      <c r="B19" s="117" t="s">
        <v>288</v>
      </c>
      <c r="C19" s="118">
        <v>22.422041</v>
      </c>
      <c r="D19" s="118">
        <v>20.741406999999999</v>
      </c>
      <c r="E19" s="118">
        <v>19.584067000000001</v>
      </c>
      <c r="F19" s="118">
        <v>20.010569</v>
      </c>
      <c r="G19" s="118">
        <v>19.085522000000001</v>
      </c>
      <c r="H19" s="118">
        <v>17.456557</v>
      </c>
      <c r="I19" s="118">
        <v>16.039698999999999</v>
      </c>
      <c r="J19" s="118">
        <v>13.710625</v>
      </c>
      <c r="K19" s="118">
        <v>12.104329999999999</v>
      </c>
      <c r="L19" s="118">
        <v>10.875608</v>
      </c>
      <c r="M19" s="118">
        <v>9.7819330000000004</v>
      </c>
      <c r="N19" s="118">
        <v>10.039725000000001</v>
      </c>
    </row>
    <row r="20" spans="2:14" ht="15" customHeight="1" outlineLevel="1" x14ac:dyDescent="0.2">
      <c r="B20" s="1" t="s">
        <v>289</v>
      </c>
      <c r="C20" s="116">
        <v>11.132104999999999</v>
      </c>
      <c r="D20" s="116">
        <v>10.266287999999999</v>
      </c>
      <c r="E20" s="116">
        <v>9.7844479999999994</v>
      </c>
      <c r="F20" s="116">
        <v>10.056853</v>
      </c>
      <c r="G20" s="116">
        <v>9.9064929999999993</v>
      </c>
      <c r="H20" s="116">
        <v>9.2040919999999993</v>
      </c>
      <c r="I20" s="116">
        <v>8.5087720000000004</v>
      </c>
      <c r="J20" s="116">
        <v>7.3231029999999997</v>
      </c>
      <c r="K20" s="116">
        <v>6.6073250000000003</v>
      </c>
      <c r="L20" s="116">
        <v>6.060473</v>
      </c>
      <c r="M20" s="116">
        <v>5.5217679999999998</v>
      </c>
      <c r="N20" s="116">
        <v>5.763776</v>
      </c>
    </row>
    <row r="21" spans="2:14" ht="15" customHeight="1" x14ac:dyDescent="0.2">
      <c r="B21" s="121" t="s">
        <v>290</v>
      </c>
      <c r="C21" s="121"/>
      <c r="D21" s="121"/>
      <c r="E21" s="121"/>
      <c r="F21" s="121"/>
      <c r="G21" s="121"/>
      <c r="H21" s="121"/>
      <c r="I21" s="121"/>
      <c r="J21" s="121"/>
      <c r="K21" s="121"/>
      <c r="L21" s="121"/>
      <c r="M21" s="121"/>
      <c r="N21" s="121"/>
    </row>
    <row r="22" spans="2:14" ht="15" customHeight="1" outlineLevel="1" x14ac:dyDescent="0.2">
      <c r="B22" s="117" t="s">
        <v>291</v>
      </c>
      <c r="C22" s="118">
        <v>2.3672010000000001</v>
      </c>
      <c r="D22" s="118">
        <v>1.7280120000000001</v>
      </c>
      <c r="E22" s="118">
        <v>1.851119</v>
      </c>
      <c r="F22" s="118">
        <v>1.7886200000000001</v>
      </c>
      <c r="G22" s="118">
        <v>2.3408410000000002</v>
      </c>
      <c r="H22" s="118">
        <v>2.4861629999999999</v>
      </c>
      <c r="I22" s="118">
        <v>2.18973</v>
      </c>
      <c r="J22" s="118">
        <v>2.7862239999999998</v>
      </c>
      <c r="K22" s="118">
        <v>3.1969979999999998</v>
      </c>
      <c r="L22" s="118">
        <v>2.4861970000000002</v>
      </c>
      <c r="M22" s="118">
        <v>2.9801709999999999</v>
      </c>
      <c r="N22" s="118">
        <v>2.4595349999999998</v>
      </c>
    </row>
    <row r="23" spans="2:14" ht="15" customHeight="1" outlineLevel="1" x14ac:dyDescent="0.2">
      <c r="B23" s="1" t="s">
        <v>292</v>
      </c>
      <c r="C23" s="116">
        <v>31.265681000000001</v>
      </c>
      <c r="D23" s="116">
        <v>24.400264</v>
      </c>
      <c r="E23" s="116">
        <v>27.421282000000001</v>
      </c>
      <c r="F23" s="116">
        <v>25.576452</v>
      </c>
      <c r="G23" s="116">
        <v>34.067199000000002</v>
      </c>
      <c r="H23" s="116">
        <v>37.895522</v>
      </c>
      <c r="I23" s="116">
        <v>34.664549000000001</v>
      </c>
      <c r="J23" s="116">
        <v>49.938612999999997</v>
      </c>
      <c r="K23" s="116">
        <v>62.353281000000003</v>
      </c>
      <c r="L23" s="116">
        <v>51.936266000000003</v>
      </c>
      <c r="M23" s="116">
        <v>66.985937000000007</v>
      </c>
      <c r="N23" s="116">
        <v>53.172348</v>
      </c>
    </row>
    <row r="24" spans="2:14" ht="15" customHeight="1" outlineLevel="1" x14ac:dyDescent="0.2">
      <c r="B24" s="117" t="s">
        <v>293</v>
      </c>
      <c r="C24" s="118">
        <v>6.1131710000000004</v>
      </c>
      <c r="D24" s="118">
        <v>4.4658720000000001</v>
      </c>
      <c r="E24" s="118">
        <v>4.7707300000000004</v>
      </c>
      <c r="F24" s="118">
        <v>4.5472739999999998</v>
      </c>
      <c r="G24" s="118">
        <v>5.8225899999999999</v>
      </c>
      <c r="H24" s="118">
        <v>5.970377</v>
      </c>
      <c r="I24" s="118">
        <v>5.0581069999999997</v>
      </c>
      <c r="J24" s="118">
        <v>6.2953919999999997</v>
      </c>
      <c r="K24" s="118">
        <v>7.0026219999999997</v>
      </c>
      <c r="L24" s="118">
        <v>5.2723789999999999</v>
      </c>
      <c r="M24" s="118">
        <v>6.1452830000000001</v>
      </c>
      <c r="N24" s="118">
        <v>4.9998990000000001</v>
      </c>
    </row>
    <row r="25" spans="2:14" ht="15" customHeight="1" outlineLevel="1" x14ac:dyDescent="0.2">
      <c r="B25" s="117" t="s">
        <v>294</v>
      </c>
      <c r="C25" s="118">
        <v>26.421008</v>
      </c>
      <c r="D25" s="118">
        <v>21.543344999999999</v>
      </c>
      <c r="E25" s="118">
        <v>22.768287999999998</v>
      </c>
      <c r="F25" s="118">
        <v>20.951511</v>
      </c>
      <c r="G25" s="118">
        <v>27.819368999999998</v>
      </c>
      <c r="H25" s="118">
        <v>29.782501</v>
      </c>
      <c r="I25" s="118">
        <v>27.202051000000001</v>
      </c>
      <c r="J25" s="118">
        <v>36.749558</v>
      </c>
      <c r="K25" s="118">
        <v>46.523121000000003</v>
      </c>
      <c r="L25" s="118">
        <v>39.521867999999998</v>
      </c>
      <c r="M25" s="118">
        <v>51.356017000000001</v>
      </c>
      <c r="N25" s="118">
        <v>40.707037</v>
      </c>
    </row>
    <row r="26" spans="2:14" ht="15" customHeight="1" outlineLevel="1" x14ac:dyDescent="0.2">
      <c r="B26" s="1" t="s">
        <v>295</v>
      </c>
      <c r="C26" s="116">
        <v>19.806781999999998</v>
      </c>
      <c r="D26" s="116">
        <v>15.870614</v>
      </c>
      <c r="E26" s="116">
        <v>16.667849</v>
      </c>
      <c r="F26" s="116">
        <v>15.450447</v>
      </c>
      <c r="G26" s="116">
        <v>20.110306000000001</v>
      </c>
      <c r="H26" s="116">
        <v>20.98723</v>
      </c>
      <c r="I26" s="116">
        <v>18.651254000000002</v>
      </c>
      <c r="J26" s="116">
        <v>23.736763</v>
      </c>
      <c r="K26" s="116">
        <v>28.444862000000001</v>
      </c>
      <c r="L26" s="116">
        <v>23.07263</v>
      </c>
      <c r="M26" s="116">
        <v>28.749897000000001</v>
      </c>
      <c r="N26" s="116">
        <v>22.949750000000002</v>
      </c>
    </row>
    <row r="27" spans="2:14" ht="15" customHeight="1" outlineLevel="1" x14ac:dyDescent="0.2">
      <c r="B27" s="117" t="s">
        <v>296</v>
      </c>
      <c r="C27" s="118">
        <v>2.7176580000000001</v>
      </c>
      <c r="D27" s="118">
        <v>2.1069499999999999</v>
      </c>
      <c r="E27" s="118">
        <v>2.2046290000000002</v>
      </c>
      <c r="F27" s="118">
        <v>2.1391460000000002</v>
      </c>
      <c r="G27" s="118">
        <v>2.777123</v>
      </c>
      <c r="H27" s="118">
        <v>2.8802940000000001</v>
      </c>
      <c r="I27" s="118">
        <v>2.5444249999999999</v>
      </c>
      <c r="J27" s="118">
        <v>3.0581860000000001</v>
      </c>
      <c r="K27" s="118">
        <v>3.526268</v>
      </c>
      <c r="L27" s="118">
        <v>2.782206</v>
      </c>
      <c r="M27" s="118">
        <v>3.3738640000000002</v>
      </c>
      <c r="N27" s="118">
        <v>2.7385570000000001</v>
      </c>
    </row>
    <row r="28" spans="2:14" ht="15" customHeight="1" x14ac:dyDescent="0.2">
      <c r="B28" s="121" t="s">
        <v>297</v>
      </c>
      <c r="C28" s="121"/>
      <c r="D28" s="121"/>
      <c r="E28" s="121"/>
      <c r="F28" s="121"/>
      <c r="G28" s="121"/>
      <c r="H28" s="121"/>
      <c r="I28" s="121"/>
      <c r="J28" s="121"/>
      <c r="K28" s="121"/>
      <c r="L28" s="121"/>
      <c r="M28" s="121"/>
      <c r="N28" s="121"/>
    </row>
    <row r="29" spans="2:14" ht="15" customHeight="1" outlineLevel="1" x14ac:dyDescent="0.2">
      <c r="B29" s="117" t="s">
        <v>298</v>
      </c>
      <c r="C29" s="118">
        <v>34.217632999999999</v>
      </c>
      <c r="D29" s="118">
        <v>36.434930000000001</v>
      </c>
      <c r="E29" s="118">
        <v>38.436205000000001</v>
      </c>
      <c r="F29" s="118">
        <v>39.689822999999997</v>
      </c>
      <c r="G29" s="118">
        <v>40.455551</v>
      </c>
      <c r="H29" s="118">
        <v>40.850090000000002</v>
      </c>
      <c r="I29" s="118">
        <v>40.868057999999998</v>
      </c>
      <c r="J29" s="118">
        <v>40.876109</v>
      </c>
      <c r="K29" s="118">
        <v>40.544280000000001</v>
      </c>
      <c r="L29" s="118">
        <v>40.511673999999999</v>
      </c>
      <c r="M29" s="118">
        <v>40.598336000000003</v>
      </c>
      <c r="N29" s="118">
        <v>41.093138000000003</v>
      </c>
    </row>
    <row r="30" spans="2:14" ht="15" customHeight="1" outlineLevel="1" x14ac:dyDescent="0.2">
      <c r="B30" s="1" t="s">
        <v>299</v>
      </c>
      <c r="C30" s="116">
        <v>3.5196160000000001</v>
      </c>
      <c r="D30" s="116">
        <v>3.5633550000000001</v>
      </c>
      <c r="E30" s="116">
        <v>3.7217359999999999</v>
      </c>
      <c r="F30" s="116">
        <v>4.0523239999999996</v>
      </c>
      <c r="G30" s="116">
        <v>4.0385540000000004</v>
      </c>
      <c r="H30" s="116">
        <v>3.9506519999999998</v>
      </c>
      <c r="I30" s="116">
        <v>3.8227159999999998</v>
      </c>
      <c r="J30" s="116">
        <v>3.4015849999999999</v>
      </c>
      <c r="K30" s="116">
        <v>3.073096</v>
      </c>
      <c r="L30" s="116">
        <v>2.8518849999999998</v>
      </c>
      <c r="M30" s="116">
        <v>2.6671309999999999</v>
      </c>
      <c r="N30" s="116">
        <v>2.764532</v>
      </c>
    </row>
    <row r="31" spans="2:14" ht="15" customHeight="1" outlineLevel="1" x14ac:dyDescent="0.2">
      <c r="B31" s="117" t="s">
        <v>300</v>
      </c>
      <c r="C31" s="118">
        <v>2.5907</v>
      </c>
      <c r="D31" s="118">
        <v>2.5802999999999998</v>
      </c>
      <c r="E31" s="118">
        <v>2.5947</v>
      </c>
      <c r="F31" s="118">
        <v>2.7755999999999998</v>
      </c>
      <c r="G31" s="118">
        <v>2.7797999999999998</v>
      </c>
      <c r="H31" s="118">
        <v>2.68</v>
      </c>
      <c r="I31" s="118">
        <v>2.5815999999999999</v>
      </c>
      <c r="J31" s="118">
        <v>2.2806000000000002</v>
      </c>
      <c r="K31" s="118">
        <v>2.0788000000000002</v>
      </c>
      <c r="L31" s="118">
        <v>1.9393</v>
      </c>
      <c r="M31" s="118">
        <v>1.8062</v>
      </c>
      <c r="N31" s="118">
        <v>1.9008</v>
      </c>
    </row>
    <row r="32" spans="2:14" ht="15" customHeight="1" outlineLevel="1" x14ac:dyDescent="0.2">
      <c r="B32" s="1" t="s">
        <v>301</v>
      </c>
      <c r="C32" s="116">
        <v>13.250080000000001</v>
      </c>
      <c r="D32" s="116">
        <v>14.09803</v>
      </c>
      <c r="E32" s="116">
        <v>14.91386</v>
      </c>
      <c r="F32" s="116">
        <v>15.611549999999999</v>
      </c>
      <c r="G32" s="116">
        <v>16.264240000000001</v>
      </c>
      <c r="H32" s="116">
        <v>17.010649999999998</v>
      </c>
      <c r="I32" s="116">
        <v>17.69239</v>
      </c>
      <c r="J32" s="116">
        <v>18.091010000000001</v>
      </c>
      <c r="K32" s="116">
        <v>18.510210000000001</v>
      </c>
      <c r="L32" s="116">
        <v>19.10333</v>
      </c>
      <c r="M32" s="116">
        <v>19.688269999999999</v>
      </c>
      <c r="N32" s="116">
        <v>20.214410000000001</v>
      </c>
    </row>
    <row r="33" spans="2:14" ht="15" customHeight="1" outlineLevel="1" x14ac:dyDescent="0.2">
      <c r="B33" s="1" t="s">
        <v>302</v>
      </c>
      <c r="C33" s="116">
        <v>1.832014</v>
      </c>
      <c r="D33" s="116">
        <v>0.49000899999999997</v>
      </c>
      <c r="E33" s="120">
        <v>-0.523169</v>
      </c>
      <c r="F33" s="116">
        <v>1.0465819999999999</v>
      </c>
      <c r="G33" s="116">
        <v>3.3983460000000001</v>
      </c>
      <c r="H33" s="116">
        <v>5.3916050000000002</v>
      </c>
      <c r="I33" s="116">
        <v>7.4452319999999999</v>
      </c>
      <c r="J33" s="116">
        <v>7.4418790000000001</v>
      </c>
      <c r="K33" s="116">
        <v>6.4737799999999996</v>
      </c>
      <c r="L33" s="116">
        <v>6.1734489999999997</v>
      </c>
      <c r="M33" s="116">
        <v>5.5995090000000003</v>
      </c>
      <c r="N33" s="116">
        <v>5.56257</v>
      </c>
    </row>
    <row r="34" spans="2:14" ht="15" customHeight="1" outlineLevel="1" x14ac:dyDescent="0.2">
      <c r="B34" s="117" t="s">
        <v>303</v>
      </c>
      <c r="C34" s="119">
        <v>-2.4706009999999998</v>
      </c>
      <c r="D34" s="119">
        <v>-4.0753490000000001</v>
      </c>
      <c r="E34" s="119">
        <v>-4.7365130000000004</v>
      </c>
      <c r="F34" s="119">
        <v>-3.2030340000000002</v>
      </c>
      <c r="G34" s="119">
        <v>-1.197859</v>
      </c>
      <c r="H34" s="118">
        <v>0.55424099999999998</v>
      </c>
      <c r="I34" s="118">
        <v>2.375956</v>
      </c>
      <c r="J34" s="118">
        <v>2.3705430000000001</v>
      </c>
      <c r="K34" s="118">
        <v>1.6712020000000001</v>
      </c>
      <c r="L34" s="118">
        <v>1.6104700000000001</v>
      </c>
      <c r="M34" s="118">
        <v>1.136981</v>
      </c>
      <c r="N34" s="118">
        <v>1.441737</v>
      </c>
    </row>
    <row r="35" spans="2:14" ht="15" customHeight="1" outlineLevel="1" x14ac:dyDescent="0.2">
      <c r="B35" s="1" t="s">
        <v>304</v>
      </c>
      <c r="C35" s="116">
        <v>107.539</v>
      </c>
      <c r="D35" s="116">
        <v>107.3</v>
      </c>
      <c r="E35" s="116">
        <v>107.47</v>
      </c>
      <c r="F35" s="116">
        <v>107.44499999999999</v>
      </c>
      <c r="G35" s="116">
        <v>107.718</v>
      </c>
      <c r="H35" s="116">
        <v>107.80500000000001</v>
      </c>
      <c r="I35" s="116">
        <v>108.002</v>
      </c>
      <c r="J35" s="116">
        <v>107.982</v>
      </c>
      <c r="K35" s="116">
        <v>108.255</v>
      </c>
      <c r="L35" s="116">
        <v>108.274</v>
      </c>
      <c r="M35" s="116">
        <v>108.292</v>
      </c>
      <c r="N35" s="116">
        <v>108.431</v>
      </c>
    </row>
    <row r="36" spans="2:14" ht="15" customHeight="1" x14ac:dyDescent="0.2">
      <c r="B36" s="115" t="s">
        <v>305</v>
      </c>
      <c r="C36" s="115"/>
      <c r="D36" s="115"/>
      <c r="E36" s="115"/>
      <c r="F36" s="115"/>
      <c r="G36" s="115"/>
      <c r="H36" s="115"/>
      <c r="I36" s="115"/>
      <c r="J36" s="115"/>
      <c r="K36" s="115"/>
      <c r="L36" s="115"/>
      <c r="M36" s="115"/>
      <c r="N36" s="115"/>
    </row>
    <row r="37" spans="2:14" ht="15" customHeight="1" outlineLevel="1" x14ac:dyDescent="0.2">
      <c r="B37" s="1" t="s">
        <v>306</v>
      </c>
      <c r="C37" s="116">
        <v>42.969428999999998</v>
      </c>
      <c r="D37" s="116">
        <v>205.73440299999999</v>
      </c>
      <c r="E37" s="116">
        <v>595.89425900000003</v>
      </c>
      <c r="F37" s="116">
        <v>487.89806099999998</v>
      </c>
      <c r="G37" s="116">
        <v>587.77866200000005</v>
      </c>
      <c r="H37" s="116">
        <v>956.83737099999996</v>
      </c>
      <c r="I37" s="116">
        <v>134.16106600000001</v>
      </c>
      <c r="J37" s="116">
        <v>91.946338999999995</v>
      </c>
      <c r="K37" s="116">
        <v>95.615218999999996</v>
      </c>
      <c r="L37" s="116">
        <v>44.875782999999998</v>
      </c>
      <c r="M37" s="116">
        <v>27.578458000000001</v>
      </c>
      <c r="N37" s="116">
        <v>24.187221999999998</v>
      </c>
    </row>
    <row r="38" spans="2:14" ht="15" customHeight="1" outlineLevel="1" x14ac:dyDescent="0.2">
      <c r="B38" s="117" t="s">
        <v>307</v>
      </c>
      <c r="C38" s="118">
        <v>46.650903999999997</v>
      </c>
      <c r="D38" s="118">
        <v>42.380434999999999</v>
      </c>
      <c r="E38" s="118">
        <v>42.600968000000002</v>
      </c>
      <c r="F38" s="118">
        <v>45.602753</v>
      </c>
      <c r="G38" s="118">
        <v>46.922044</v>
      </c>
      <c r="H38" s="118">
        <v>41.162036999999998</v>
      </c>
      <c r="I38" s="118">
        <v>39.002302</v>
      </c>
      <c r="J38" s="118">
        <v>38.475279</v>
      </c>
      <c r="K38" s="118">
        <v>42.868161000000001</v>
      </c>
      <c r="L38" s="118">
        <v>40.665474000000003</v>
      </c>
      <c r="M38" s="118">
        <v>39.686898999999997</v>
      </c>
      <c r="N38" s="118">
        <v>35.560245999999999</v>
      </c>
    </row>
    <row r="39" spans="2:14" ht="15" customHeight="1" outlineLevel="1" x14ac:dyDescent="0.2">
      <c r="B39" s="1" t="s">
        <v>308</v>
      </c>
      <c r="C39" s="116">
        <v>2.630363</v>
      </c>
      <c r="D39" s="116">
        <v>2.4459970000000002</v>
      </c>
      <c r="E39" s="116">
        <v>2.4415239999999998</v>
      </c>
      <c r="F39" s="116">
        <v>2.3401830000000001</v>
      </c>
      <c r="G39" s="116">
        <v>2.347623</v>
      </c>
      <c r="H39" s="116">
        <v>2.1856300000000002</v>
      </c>
      <c r="I39" s="116">
        <v>2.2680220000000002</v>
      </c>
      <c r="J39" s="116">
        <v>2.298867</v>
      </c>
      <c r="K39" s="116">
        <v>2.477141</v>
      </c>
      <c r="L39" s="116">
        <v>2.476137</v>
      </c>
      <c r="M39" s="116">
        <v>2.542008</v>
      </c>
      <c r="N39" s="116">
        <v>2.465179</v>
      </c>
    </row>
    <row r="40" spans="2:14" ht="15" customHeight="1" outlineLevel="1" x14ac:dyDescent="0.2">
      <c r="B40" s="117" t="s">
        <v>136</v>
      </c>
      <c r="C40" s="118">
        <v>2.8351130000000002</v>
      </c>
      <c r="D40" s="118">
        <v>2.75922</v>
      </c>
      <c r="E40" s="118">
        <v>2.7461730000000002</v>
      </c>
      <c r="F40" s="118">
        <v>2.8866890000000001</v>
      </c>
      <c r="G40" s="118">
        <v>3.1283970000000001</v>
      </c>
      <c r="H40" s="118">
        <v>3.3061820000000002</v>
      </c>
      <c r="I40" s="118">
        <v>3.3042180000000001</v>
      </c>
      <c r="J40" s="118">
        <v>3.3277899999999998</v>
      </c>
      <c r="K40" s="118">
        <v>3.4120430000000002</v>
      </c>
      <c r="L40" s="118">
        <v>3.376347</v>
      </c>
      <c r="M40" s="118">
        <v>3.2195990000000001</v>
      </c>
      <c r="N40" s="118">
        <v>3.0929419999999999</v>
      </c>
    </row>
    <row r="41" spans="2:14" ht="15" customHeight="1" outlineLevel="1" x14ac:dyDescent="0.2">
      <c r="B41" s="1" t="s">
        <v>309</v>
      </c>
      <c r="C41" s="116">
        <v>1.761779</v>
      </c>
      <c r="D41" s="116">
        <v>1.7738370000000001</v>
      </c>
      <c r="E41" s="116">
        <v>1.801876</v>
      </c>
      <c r="F41" s="116">
        <v>1.782375</v>
      </c>
      <c r="G41" s="116">
        <v>1.7292179999999999</v>
      </c>
      <c r="H41" s="116">
        <v>1.668855</v>
      </c>
      <c r="I41" s="116">
        <v>1.5847800000000001</v>
      </c>
      <c r="J41" s="116">
        <v>1.526864</v>
      </c>
      <c r="K41" s="116">
        <v>1.4924900000000001</v>
      </c>
      <c r="L41" s="116">
        <v>1.4591540000000001</v>
      </c>
      <c r="M41" s="116">
        <v>1.4288730000000001</v>
      </c>
      <c r="N41" s="116">
        <v>1.4307780000000001</v>
      </c>
    </row>
    <row r="42" spans="2:14" ht="15" customHeight="1" outlineLevel="1" x14ac:dyDescent="0.2">
      <c r="B42" s="117" t="s">
        <v>310</v>
      </c>
      <c r="C42" s="118">
        <v>1.0731029999999999</v>
      </c>
      <c r="D42" s="118">
        <v>1.033749</v>
      </c>
      <c r="E42" s="118">
        <v>1.0493729999999999</v>
      </c>
      <c r="F42" s="118">
        <v>1.05531</v>
      </c>
      <c r="G42" s="118">
        <v>1.0591839999999999</v>
      </c>
      <c r="H42" s="118">
        <v>1.0153129999999999</v>
      </c>
      <c r="I42" s="118">
        <v>0.99379899999999999</v>
      </c>
      <c r="J42" s="118">
        <v>0.97936199999999995</v>
      </c>
      <c r="K42" s="118">
        <v>0.97602699999999998</v>
      </c>
      <c r="L42" s="118">
        <v>0.94396000000000002</v>
      </c>
      <c r="M42" s="118">
        <v>0.91877399999999998</v>
      </c>
      <c r="N42" s="118">
        <v>0.91748300000000005</v>
      </c>
    </row>
    <row r="43" spans="2:14" ht="15" customHeight="1" x14ac:dyDescent="0.2">
      <c r="B43" s="121" t="s">
        <v>311</v>
      </c>
      <c r="C43" s="121"/>
      <c r="D43" s="121"/>
      <c r="E43" s="121"/>
      <c r="F43" s="121"/>
      <c r="G43" s="121"/>
      <c r="H43" s="121"/>
      <c r="I43" s="121"/>
      <c r="J43" s="121"/>
      <c r="K43" s="121"/>
      <c r="L43" s="121"/>
      <c r="M43" s="121"/>
      <c r="N43" s="121"/>
    </row>
    <row r="44" spans="2:14" ht="15" customHeight="1" outlineLevel="1" x14ac:dyDescent="0.2">
      <c r="B44" s="122" t="s">
        <v>312</v>
      </c>
      <c r="C44" s="123">
        <v>1.0731029999999999</v>
      </c>
      <c r="D44" s="123">
        <v>1.033749</v>
      </c>
      <c r="E44" s="123">
        <v>1.0493729999999999</v>
      </c>
      <c r="F44" s="123">
        <v>1.05531</v>
      </c>
      <c r="G44" s="123">
        <v>1.0591839999999999</v>
      </c>
      <c r="H44" s="123">
        <v>1.0153129999999999</v>
      </c>
      <c r="I44" s="123">
        <v>0.99379899999999999</v>
      </c>
      <c r="J44" s="123">
        <v>0.97936199999999995</v>
      </c>
      <c r="K44" s="123">
        <v>0.97602699999999998</v>
      </c>
      <c r="L44" s="123">
        <v>0.94396000000000002</v>
      </c>
      <c r="M44" s="123">
        <v>0.91877399999999998</v>
      </c>
      <c r="N44" s="123">
        <v>0.91748300000000005</v>
      </c>
    </row>
    <row r="45" spans="2:14" ht="15" customHeight="1" outlineLevel="2" x14ac:dyDescent="0.2">
      <c r="B45" s="124" t="s">
        <v>313</v>
      </c>
      <c r="C45" s="116">
        <v>9.0310159999999993</v>
      </c>
      <c r="D45" s="116">
        <v>8.6914890000000007</v>
      </c>
      <c r="E45" s="116">
        <v>8.6217740000000003</v>
      </c>
      <c r="F45" s="116">
        <v>9.0426649999999995</v>
      </c>
      <c r="G45" s="116">
        <v>8.79955</v>
      </c>
      <c r="H45" s="116">
        <v>8.4200079999999993</v>
      </c>
      <c r="I45" s="116">
        <v>8.0588700000000006</v>
      </c>
      <c r="J45" s="116">
        <v>7.0579789999999996</v>
      </c>
      <c r="K45" s="116">
        <v>6.3391510000000002</v>
      </c>
      <c r="L45" s="116">
        <v>5.8550129999999996</v>
      </c>
      <c r="M45" s="116">
        <v>5.4458169999999999</v>
      </c>
      <c r="N45" s="116">
        <v>5.6870750000000001</v>
      </c>
    </row>
    <row r="46" spans="2:14" ht="15" customHeight="1" outlineLevel="1" x14ac:dyDescent="0.2">
      <c r="B46" s="122" t="s">
        <v>314</v>
      </c>
      <c r="C46" s="123">
        <v>9.6912120000000002</v>
      </c>
      <c r="D46" s="123">
        <v>8.9848160000000004</v>
      </c>
      <c r="E46" s="123">
        <v>9.0474540000000001</v>
      </c>
      <c r="F46" s="123">
        <v>9.5428110000000004</v>
      </c>
      <c r="G46" s="123">
        <v>9.3203440000000004</v>
      </c>
      <c r="H46" s="123">
        <v>8.5489460000000008</v>
      </c>
      <c r="I46" s="123">
        <v>8.0088939999999997</v>
      </c>
      <c r="J46" s="123">
        <v>6.912318</v>
      </c>
      <c r="K46" s="123">
        <v>6.1871809999999998</v>
      </c>
      <c r="L46" s="123">
        <v>5.5268980000000001</v>
      </c>
      <c r="M46" s="123">
        <v>5.0034739999999998</v>
      </c>
      <c r="N46" s="123">
        <v>5.2177959999999999</v>
      </c>
    </row>
    <row r="47" spans="2:14" ht="15" customHeight="1" outlineLevel="2" x14ac:dyDescent="0.2">
      <c r="B47" s="124" t="s">
        <v>315</v>
      </c>
      <c r="C47" s="116">
        <v>83.770917999999995</v>
      </c>
      <c r="D47" s="116">
        <v>81.609283000000005</v>
      </c>
      <c r="E47" s="116">
        <v>78.291865999999999</v>
      </c>
      <c r="F47" s="116">
        <v>77.328316000000001</v>
      </c>
      <c r="G47" s="116">
        <v>77.912514000000002</v>
      </c>
      <c r="H47" s="116">
        <v>77.773702999999998</v>
      </c>
      <c r="I47" s="116">
        <v>78.192885000000004</v>
      </c>
      <c r="J47" s="116">
        <v>78.958433999999997</v>
      </c>
      <c r="K47" s="116">
        <v>80.683456000000007</v>
      </c>
      <c r="L47" s="116">
        <v>81.652662000000007</v>
      </c>
      <c r="M47" s="116">
        <v>81.641356000000002</v>
      </c>
      <c r="N47" s="116">
        <v>81.242920999999996</v>
      </c>
    </row>
    <row r="48" spans="2:14" ht="15" customHeight="1" outlineLevel="1" x14ac:dyDescent="0.2">
      <c r="B48" s="122" t="s">
        <v>316</v>
      </c>
      <c r="C48" s="123">
        <v>8.1184170000000009</v>
      </c>
      <c r="D48" s="123">
        <v>7.3324439999999997</v>
      </c>
      <c r="E48" s="123">
        <v>7.0834210000000004</v>
      </c>
      <c r="F48" s="123">
        <v>7.3792949999999999</v>
      </c>
      <c r="G48" s="123">
        <v>7.2617149999999997</v>
      </c>
      <c r="H48" s="123">
        <v>6.6488319999999996</v>
      </c>
      <c r="I48" s="123">
        <v>6.2623850000000001</v>
      </c>
      <c r="J48" s="123">
        <v>5.4578579999999999</v>
      </c>
      <c r="K48" s="123">
        <v>4.992032</v>
      </c>
      <c r="L48" s="123">
        <v>4.5128589999999997</v>
      </c>
      <c r="M48" s="123">
        <v>4.0849039999999999</v>
      </c>
      <c r="N48" s="123">
        <v>4.23909</v>
      </c>
    </row>
    <row r="49" spans="2:14" ht="15" customHeight="1" outlineLevel="2" x14ac:dyDescent="0.2">
      <c r="B49" s="124" t="s">
        <v>317</v>
      </c>
      <c r="C49" s="116">
        <v>2.761873</v>
      </c>
      <c r="D49" s="116">
        <v>2.8287170000000001</v>
      </c>
      <c r="E49" s="116">
        <v>2.7647750000000002</v>
      </c>
      <c r="F49" s="116">
        <v>2.7117179999999999</v>
      </c>
      <c r="G49" s="116">
        <v>2.6282390000000002</v>
      </c>
      <c r="H49" s="116">
        <v>2.6255069999999998</v>
      </c>
      <c r="I49" s="116">
        <v>2.5612759999999999</v>
      </c>
      <c r="J49" s="116">
        <v>2.512089</v>
      </c>
      <c r="K49" s="116">
        <v>2.4247299999999998</v>
      </c>
      <c r="L49" s="116">
        <v>2.4099149999999998</v>
      </c>
      <c r="M49" s="116">
        <v>2.3946550000000002</v>
      </c>
      <c r="N49" s="116">
        <v>2.3683679999999998</v>
      </c>
    </row>
    <row r="50" spans="2:14" ht="15" customHeight="1" outlineLevel="1" x14ac:dyDescent="0.2">
      <c r="B50" s="122" t="s">
        <v>318</v>
      </c>
      <c r="C50" s="123">
        <v>22.422041</v>
      </c>
      <c r="D50" s="123">
        <v>20.741406999999999</v>
      </c>
      <c r="E50" s="123">
        <v>19.584067000000001</v>
      </c>
      <c r="F50" s="123">
        <v>20.010569</v>
      </c>
      <c r="G50" s="123">
        <v>19.085522000000001</v>
      </c>
      <c r="H50" s="123">
        <v>17.456557</v>
      </c>
      <c r="I50" s="123">
        <v>16.039698999999999</v>
      </c>
      <c r="J50" s="123">
        <v>13.710625</v>
      </c>
      <c r="K50" s="123">
        <v>12.104329999999999</v>
      </c>
      <c r="L50" s="123">
        <v>10.875608</v>
      </c>
      <c r="M50" s="123">
        <v>9.7819330000000004</v>
      </c>
      <c r="N50" s="123">
        <v>10.039725000000001</v>
      </c>
    </row>
    <row r="51" spans="2:14" ht="15" customHeight="1" outlineLevel="2" x14ac:dyDescent="0.2">
      <c r="B51" s="124" t="s">
        <v>319</v>
      </c>
      <c r="C51" s="116">
        <v>100</v>
      </c>
      <c r="D51" s="116">
        <v>100</v>
      </c>
      <c r="E51" s="116">
        <v>100</v>
      </c>
      <c r="F51" s="116">
        <v>100</v>
      </c>
      <c r="G51" s="116">
        <v>100</v>
      </c>
      <c r="H51" s="116">
        <v>100</v>
      </c>
      <c r="I51" s="116">
        <v>100</v>
      </c>
      <c r="J51" s="116">
        <v>100</v>
      </c>
      <c r="K51" s="116">
        <v>100</v>
      </c>
      <c r="L51" s="116">
        <v>100</v>
      </c>
      <c r="M51" s="116">
        <v>100</v>
      </c>
      <c r="N51" s="116">
        <v>100</v>
      </c>
    </row>
    <row r="52" spans="2:14" ht="15" customHeight="1" outlineLevel="1" x14ac:dyDescent="0.2">
      <c r="B52" s="117" t="s">
        <v>320</v>
      </c>
      <c r="C52" s="118">
        <v>22.422041</v>
      </c>
      <c r="D52" s="118">
        <v>20.741406999999999</v>
      </c>
      <c r="E52" s="118">
        <v>19.584067000000001</v>
      </c>
      <c r="F52" s="118">
        <v>20.010569</v>
      </c>
      <c r="G52" s="118">
        <v>19.085522000000001</v>
      </c>
      <c r="H52" s="118">
        <v>17.456557</v>
      </c>
      <c r="I52" s="118">
        <v>16.039698999999999</v>
      </c>
      <c r="J52" s="118">
        <v>13.710625</v>
      </c>
      <c r="K52" s="118">
        <v>12.104329999999999</v>
      </c>
      <c r="L52" s="118">
        <v>10.875608</v>
      </c>
      <c r="M52" s="118">
        <v>9.7819330000000004</v>
      </c>
      <c r="N52" s="118">
        <v>10.039725000000001</v>
      </c>
    </row>
    <row r="53" spans="2:14" ht="15" customHeight="1" outlineLevel="1" x14ac:dyDescent="0.2">
      <c r="B53" s="1" t="s">
        <v>321</v>
      </c>
      <c r="C53" s="116">
        <v>11.03791</v>
      </c>
      <c r="D53" s="116">
        <v>10.110116</v>
      </c>
      <c r="E53" s="116">
        <v>10.160962</v>
      </c>
      <c r="F53" s="116">
        <v>10.774694</v>
      </c>
      <c r="G53" s="116">
        <v>10.573513</v>
      </c>
      <c r="H53" s="116">
        <v>9.8191930000000003</v>
      </c>
      <c r="I53" s="116">
        <v>9.2957920000000005</v>
      </c>
      <c r="J53" s="116">
        <v>8.1499550000000003</v>
      </c>
      <c r="K53" s="116">
        <v>7.3978970000000004</v>
      </c>
      <c r="L53" s="116">
        <v>6.6451589999999996</v>
      </c>
      <c r="M53" s="116">
        <v>6.0359379999999998</v>
      </c>
      <c r="N53" s="116">
        <v>6.1723489999999996</v>
      </c>
    </row>
    <row r="54" spans="2:14" ht="15" customHeight="1" outlineLevel="1" x14ac:dyDescent="0.2">
      <c r="B54" s="117" t="s">
        <v>322</v>
      </c>
      <c r="C54" s="118">
        <v>0.120666</v>
      </c>
      <c r="D54" s="118">
        <v>0.12089900000000001</v>
      </c>
      <c r="E54" s="118">
        <v>0.16455900000000001</v>
      </c>
      <c r="F54" s="118">
        <v>0.25597300000000001</v>
      </c>
      <c r="G54" s="118">
        <v>0.34226800000000002</v>
      </c>
      <c r="H54" s="118">
        <v>0.35893399999999998</v>
      </c>
      <c r="I54" s="118">
        <v>0.30784299999999998</v>
      </c>
      <c r="J54" s="118">
        <v>0.21226600000000001</v>
      </c>
      <c r="K54" s="118">
        <v>0.18009500000000001</v>
      </c>
      <c r="L54" s="118">
        <v>0.138126</v>
      </c>
      <c r="M54" s="118">
        <v>0.113498</v>
      </c>
      <c r="N54" s="125"/>
    </row>
    <row r="55" spans="2:14" ht="15" customHeight="1" x14ac:dyDescent="0.2">
      <c r="B55" s="121" t="s">
        <v>323</v>
      </c>
      <c r="C55" s="121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</row>
    <row r="56" spans="2:14" ht="15" customHeight="1" outlineLevel="1" x14ac:dyDescent="0.2">
      <c r="B56" s="117" t="s">
        <v>324</v>
      </c>
      <c r="C56" s="118">
        <v>46.650903999999997</v>
      </c>
      <c r="D56" s="118">
        <v>42.380434999999999</v>
      </c>
      <c r="E56" s="118">
        <v>42.600968000000002</v>
      </c>
      <c r="F56" s="118">
        <v>45.602753</v>
      </c>
      <c r="G56" s="118">
        <v>46.922044</v>
      </c>
      <c r="H56" s="118">
        <v>41.162036999999998</v>
      </c>
      <c r="I56" s="118">
        <v>39.002302</v>
      </c>
      <c r="J56" s="118">
        <v>38.475279</v>
      </c>
      <c r="K56" s="118">
        <v>42.868161000000001</v>
      </c>
      <c r="L56" s="118">
        <v>40.665474000000003</v>
      </c>
      <c r="M56" s="118">
        <v>39.686898999999997</v>
      </c>
      <c r="N56" s="118">
        <v>35.560245999999999</v>
      </c>
    </row>
    <row r="57" spans="2:14" ht="15" customHeight="1" outlineLevel="1" x14ac:dyDescent="0.2">
      <c r="B57" s="1" t="s">
        <v>325</v>
      </c>
      <c r="C57" s="116">
        <v>2.630363</v>
      </c>
      <c r="D57" s="116">
        <v>2.4459970000000002</v>
      </c>
      <c r="E57" s="116">
        <v>2.4415239999999998</v>
      </c>
      <c r="F57" s="116">
        <v>2.3401830000000001</v>
      </c>
      <c r="G57" s="116">
        <v>2.347623</v>
      </c>
      <c r="H57" s="116">
        <v>2.1856300000000002</v>
      </c>
      <c r="I57" s="116">
        <v>2.2680220000000002</v>
      </c>
      <c r="J57" s="116">
        <v>2.298867</v>
      </c>
      <c r="K57" s="116">
        <v>2.477141</v>
      </c>
      <c r="L57" s="116">
        <v>2.476137</v>
      </c>
      <c r="M57" s="116">
        <v>2.542008</v>
      </c>
      <c r="N57" s="116">
        <v>2.465179</v>
      </c>
    </row>
    <row r="58" spans="2:14" ht="15" customHeight="1" outlineLevel="1" x14ac:dyDescent="0.2">
      <c r="B58" s="117" t="s">
        <v>326</v>
      </c>
      <c r="C58" s="118">
        <v>5.2317</v>
      </c>
      <c r="D58" s="118">
        <v>4.8337000000000003</v>
      </c>
      <c r="E58" s="118">
        <v>4.8826999999999998</v>
      </c>
      <c r="F58" s="118">
        <v>4.7510000000000003</v>
      </c>
      <c r="G58" s="118">
        <v>4.3893000000000004</v>
      </c>
      <c r="H58" s="118">
        <v>3.5941000000000001</v>
      </c>
      <c r="I58" s="118">
        <v>3.7612999999999999</v>
      </c>
      <c r="J58" s="118">
        <v>4.0479000000000003</v>
      </c>
      <c r="K58" s="118">
        <v>4.2718999999999996</v>
      </c>
      <c r="L58" s="118">
        <v>3.8149999999999999</v>
      </c>
      <c r="M58" s="118">
        <v>3.7046000000000001</v>
      </c>
      <c r="N58" s="118">
        <v>3.7797999999999998</v>
      </c>
    </row>
    <row r="59" spans="2:14" ht="15" customHeight="1" outlineLevel="1" x14ac:dyDescent="0.2">
      <c r="B59" s="1" t="s">
        <v>327</v>
      </c>
      <c r="C59" s="116">
        <v>1.0731029999999999</v>
      </c>
      <c r="D59" s="116">
        <v>1.033749</v>
      </c>
      <c r="E59" s="116">
        <v>1.0493729999999999</v>
      </c>
      <c r="F59" s="116">
        <v>1.05531</v>
      </c>
      <c r="G59" s="116">
        <v>1.0591839999999999</v>
      </c>
      <c r="H59" s="116">
        <v>1.0153129999999999</v>
      </c>
      <c r="I59" s="116">
        <v>0.99379899999999999</v>
      </c>
      <c r="J59" s="116">
        <v>0.97936199999999995</v>
      </c>
      <c r="K59" s="116">
        <v>0.97602699999999998</v>
      </c>
      <c r="L59" s="116">
        <v>0.94396000000000002</v>
      </c>
      <c r="M59" s="116">
        <v>0.91877399999999998</v>
      </c>
      <c r="N59" s="116">
        <v>0.91748300000000005</v>
      </c>
    </row>
    <row r="60" spans="2:14" ht="15" customHeight="1" outlineLevel="1" x14ac:dyDescent="0.2">
      <c r="B60" s="117" t="s">
        <v>328</v>
      </c>
      <c r="C60" s="118">
        <v>16.057261</v>
      </c>
      <c r="D60" s="118">
        <v>12.450970999999999</v>
      </c>
      <c r="E60" s="118">
        <v>9.4814349999999994</v>
      </c>
      <c r="F60" s="118">
        <v>9.4613209999999999</v>
      </c>
      <c r="G60" s="118">
        <v>13.535866</v>
      </c>
      <c r="H60" s="118">
        <v>20.076791</v>
      </c>
      <c r="I60" s="118">
        <v>27.293218</v>
      </c>
      <c r="J60" s="118">
        <v>26.811422</v>
      </c>
      <c r="K60" s="118">
        <v>24.057359999999999</v>
      </c>
      <c r="L60" s="118">
        <v>22.725021999999999</v>
      </c>
      <c r="M60" s="118">
        <v>22.448747999999998</v>
      </c>
      <c r="N60" s="118">
        <v>17.952843000000001</v>
      </c>
    </row>
    <row r="61" spans="2:14" ht="15" customHeight="1" x14ac:dyDescent="0.2">
      <c r="B61" s="121" t="s">
        <v>329</v>
      </c>
      <c r="C61" s="121"/>
      <c r="D61" s="121"/>
      <c r="E61" s="121"/>
      <c r="F61" s="121"/>
      <c r="G61" s="121"/>
      <c r="H61" s="121"/>
      <c r="I61" s="121"/>
      <c r="J61" s="121"/>
      <c r="K61" s="121"/>
      <c r="L61" s="121"/>
      <c r="M61" s="121"/>
      <c r="N61" s="121"/>
    </row>
    <row r="62" spans="2:14" ht="15" customHeight="1" outlineLevel="1" x14ac:dyDescent="0.2">
      <c r="B62" s="122" t="s">
        <v>330</v>
      </c>
      <c r="C62" s="123">
        <v>138.764095</v>
      </c>
      <c r="D62" s="123">
        <v>149.22341299999999</v>
      </c>
      <c r="E62" s="123">
        <v>149.49680000000001</v>
      </c>
      <c r="F62" s="123">
        <v>155.97072499999999</v>
      </c>
      <c r="G62" s="123">
        <v>155.47639100000001</v>
      </c>
      <c r="H62" s="123">
        <v>166.99992</v>
      </c>
      <c r="I62" s="123">
        <v>160.933188</v>
      </c>
      <c r="J62" s="123">
        <v>158.773875</v>
      </c>
      <c r="K62" s="123">
        <v>147.347263</v>
      </c>
      <c r="L62" s="123">
        <v>147.40701000000001</v>
      </c>
      <c r="M62" s="123">
        <v>143.587298</v>
      </c>
      <c r="N62" s="123">
        <v>148.062298</v>
      </c>
    </row>
    <row r="63" spans="2:14" ht="15" customHeight="1" outlineLevel="2" x14ac:dyDescent="0.2">
      <c r="B63" s="124" t="s">
        <v>331</v>
      </c>
      <c r="C63" s="116">
        <v>7.824071</v>
      </c>
      <c r="D63" s="116">
        <v>8.6124650000000003</v>
      </c>
      <c r="E63" s="116">
        <v>8.5678800000000006</v>
      </c>
      <c r="F63" s="116">
        <v>8.0039029999999993</v>
      </c>
      <c r="G63" s="116">
        <v>7.7788599999999999</v>
      </c>
      <c r="H63" s="116">
        <v>8.8673940000000009</v>
      </c>
      <c r="I63" s="116">
        <v>9.3584219999999991</v>
      </c>
      <c r="J63" s="116">
        <v>9.4866109999999999</v>
      </c>
      <c r="K63" s="116">
        <v>8.5144780000000004</v>
      </c>
      <c r="L63" s="116">
        <v>8.9756730000000005</v>
      </c>
      <c r="M63" s="116">
        <v>9.1969899999999996</v>
      </c>
      <c r="N63" s="116">
        <v>10.264271000000001</v>
      </c>
    </row>
    <row r="64" spans="2:14" ht="15" customHeight="1" outlineLevel="1" x14ac:dyDescent="0.2">
      <c r="B64" s="122" t="s">
        <v>332</v>
      </c>
      <c r="C64" s="123">
        <v>146.588166</v>
      </c>
      <c r="D64" s="123">
        <v>157.83587800000001</v>
      </c>
      <c r="E64" s="123">
        <v>158.06468100000001</v>
      </c>
      <c r="F64" s="123">
        <v>163.974628</v>
      </c>
      <c r="G64" s="123">
        <v>163.25525099999999</v>
      </c>
      <c r="H64" s="123">
        <v>175.86731399999999</v>
      </c>
      <c r="I64" s="123">
        <v>170.29160999999999</v>
      </c>
      <c r="J64" s="123">
        <v>168.26048599999999</v>
      </c>
      <c r="K64" s="123">
        <v>155.86174099999999</v>
      </c>
      <c r="L64" s="123">
        <v>156.38268299999999</v>
      </c>
      <c r="M64" s="123">
        <v>152.784288</v>
      </c>
      <c r="N64" s="123">
        <v>158.32656900000001</v>
      </c>
    </row>
    <row r="65" spans="2:14" ht="15" customHeight="1" outlineLevel="2" x14ac:dyDescent="0.2">
      <c r="B65" s="124" t="s">
        <v>333</v>
      </c>
      <c r="C65" s="116">
        <v>69.766997000000003</v>
      </c>
      <c r="D65" s="116">
        <v>75.511512999999994</v>
      </c>
      <c r="E65" s="116">
        <v>74.753721999999996</v>
      </c>
      <c r="F65" s="116">
        <v>76.825930999999997</v>
      </c>
      <c r="G65" s="116">
        <v>83.156768</v>
      </c>
      <c r="H65" s="116">
        <v>101.55532700000001</v>
      </c>
      <c r="I65" s="116">
        <v>97.040916999999993</v>
      </c>
      <c r="J65" s="116">
        <v>90.170212000000006</v>
      </c>
      <c r="K65" s="116">
        <v>85.442075000000003</v>
      </c>
      <c r="L65" s="116">
        <v>95.674966999999995</v>
      </c>
      <c r="M65" s="116">
        <v>98.526156999999998</v>
      </c>
      <c r="N65" s="116">
        <v>96.565956</v>
      </c>
    </row>
    <row r="66" spans="2:14" ht="15" customHeight="1" outlineLevel="1" x14ac:dyDescent="0.2">
      <c r="B66" s="117" t="s">
        <v>334</v>
      </c>
      <c r="C66" s="118">
        <v>76.821168999999998</v>
      </c>
      <c r="D66" s="118">
        <v>82.324365</v>
      </c>
      <c r="E66" s="118">
        <v>83.310957999999999</v>
      </c>
      <c r="F66" s="118">
        <v>87.148696000000001</v>
      </c>
      <c r="G66" s="118">
        <v>80.098483000000002</v>
      </c>
      <c r="H66" s="118">
        <v>74.311987999999999</v>
      </c>
      <c r="I66" s="118">
        <v>73.250693999999996</v>
      </c>
      <c r="J66" s="118">
        <v>78.090273999999994</v>
      </c>
      <c r="K66" s="118">
        <v>70.419666000000007</v>
      </c>
      <c r="L66" s="118">
        <v>60.707715</v>
      </c>
      <c r="M66" s="118">
        <v>54.258130999999999</v>
      </c>
      <c r="N66" s="118">
        <v>61.760612999999999</v>
      </c>
    </row>
    <row r="67" spans="2:14" ht="15" customHeight="1" x14ac:dyDescent="0.2">
      <c r="B67" s="121" t="s">
        <v>335</v>
      </c>
      <c r="C67" s="121"/>
      <c r="D67" s="121"/>
      <c r="E67" s="121"/>
      <c r="F67" s="121"/>
      <c r="G67" s="121"/>
      <c r="H67" s="121"/>
      <c r="I67" s="121"/>
      <c r="J67" s="121"/>
      <c r="K67" s="121"/>
      <c r="L67" s="121"/>
      <c r="M67" s="121"/>
      <c r="N67" s="121"/>
    </row>
    <row r="68" spans="2:14" ht="15" customHeight="1" outlineLevel="1" x14ac:dyDescent="0.2">
      <c r="B68" s="117" t="s">
        <v>336</v>
      </c>
      <c r="C68" s="118">
        <v>1.209603</v>
      </c>
      <c r="D68" s="118">
        <v>1.2622519999999999</v>
      </c>
      <c r="E68" s="118">
        <v>1.410453</v>
      </c>
      <c r="F68" s="118">
        <v>1.4477009999999999</v>
      </c>
      <c r="G68" s="118">
        <v>1.3198559999999999</v>
      </c>
      <c r="H68" s="118">
        <v>1.196518</v>
      </c>
      <c r="I68" s="118">
        <v>1.1377060000000001</v>
      </c>
      <c r="J68" s="118">
        <v>1.1429039999999999</v>
      </c>
      <c r="K68" s="118">
        <v>1.1699299999999999</v>
      </c>
      <c r="L68" s="118">
        <v>1.167961</v>
      </c>
      <c r="M68" s="118">
        <v>1.1641589999999999</v>
      </c>
      <c r="N68" s="118">
        <v>1.199481</v>
      </c>
    </row>
    <row r="69" spans="2:14" ht="15" customHeight="1" outlineLevel="1" x14ac:dyDescent="0.2">
      <c r="B69" s="1" t="s">
        <v>337</v>
      </c>
      <c r="C69" s="116">
        <v>0.158188</v>
      </c>
      <c r="D69" s="116">
        <v>0.13959299999999999</v>
      </c>
      <c r="E69" s="116">
        <v>0.16641400000000001</v>
      </c>
      <c r="F69" s="116">
        <v>0.16403999999999999</v>
      </c>
      <c r="G69" s="116">
        <v>0.14637</v>
      </c>
      <c r="H69" s="116">
        <v>0.14607600000000001</v>
      </c>
      <c r="I69" s="116">
        <v>0.19640299999999999</v>
      </c>
      <c r="J69" s="116">
        <v>0.18271499999999999</v>
      </c>
      <c r="K69" s="116">
        <v>0.208592</v>
      </c>
      <c r="L69" s="116">
        <v>0.26533699999999999</v>
      </c>
      <c r="M69" s="116">
        <v>0.287387</v>
      </c>
      <c r="N69" s="116">
        <v>0.28917199999999998</v>
      </c>
    </row>
    <row r="70" spans="2:14" ht="15" customHeight="1" outlineLevel="1" x14ac:dyDescent="0.2">
      <c r="B70" s="117" t="s">
        <v>338</v>
      </c>
      <c r="C70" s="118">
        <v>2.9111000000000001E-2</v>
      </c>
      <c r="D70" s="118">
        <v>5.1590000000000004E-3</v>
      </c>
      <c r="E70" s="118">
        <v>7.2420000000000002E-3</v>
      </c>
      <c r="F70" s="118">
        <v>9.7280000000000005E-3</v>
      </c>
      <c r="G70" s="118">
        <v>5.0010000000000002E-3</v>
      </c>
      <c r="H70" s="118">
        <v>3.7369999999999999E-3</v>
      </c>
      <c r="I70" s="118">
        <v>5.2477000000000003E-2</v>
      </c>
      <c r="J70" s="118">
        <v>2.9845E-2</v>
      </c>
      <c r="K70" s="118">
        <v>5.3487E-2</v>
      </c>
      <c r="L70" s="118">
        <v>0.12014</v>
      </c>
      <c r="M70" s="118">
        <v>0.15152399999999999</v>
      </c>
      <c r="N70" s="118">
        <v>0.150836</v>
      </c>
    </row>
    <row r="71" spans="2:14" ht="15" customHeight="1" outlineLevel="1" x14ac:dyDescent="0.2">
      <c r="B71" s="1" t="s">
        <v>339</v>
      </c>
      <c r="C71" s="116">
        <v>2.4066890000000001</v>
      </c>
      <c r="D71" s="116">
        <v>0.40872999999999998</v>
      </c>
      <c r="E71" s="116">
        <v>0.51346199999999997</v>
      </c>
      <c r="F71" s="116">
        <v>0.67197899999999999</v>
      </c>
      <c r="G71" s="116">
        <v>0.37893100000000002</v>
      </c>
      <c r="H71" s="116">
        <v>0.31230999999999998</v>
      </c>
      <c r="I71" s="116">
        <v>4.6125220000000002</v>
      </c>
      <c r="J71" s="116">
        <v>2.6113439999999999</v>
      </c>
      <c r="K71" s="116">
        <v>4.5718319999999997</v>
      </c>
      <c r="L71" s="116">
        <v>10.286282999999999</v>
      </c>
      <c r="M71" s="116">
        <v>13.015736</v>
      </c>
      <c r="N71" s="116">
        <v>12.575106</v>
      </c>
    </row>
    <row r="72" spans="2:14" ht="15" customHeight="1" outlineLevel="1" x14ac:dyDescent="0.2">
      <c r="B72" s="117" t="s">
        <v>340</v>
      </c>
      <c r="C72" s="118">
        <v>18.019734</v>
      </c>
      <c r="D72" s="118">
        <v>4.3914580000000001</v>
      </c>
      <c r="E72" s="119">
        <v>-5.2971190000000004</v>
      </c>
      <c r="F72" s="118">
        <v>11.169516</v>
      </c>
      <c r="G72" s="118">
        <v>36.368848</v>
      </c>
      <c r="H72" s="118">
        <v>52.074077000000003</v>
      </c>
      <c r="I72" s="118">
        <v>68.469997000000006</v>
      </c>
      <c r="J72" s="118">
        <v>69.755201999999997</v>
      </c>
      <c r="K72" s="118">
        <v>65.275105999999994</v>
      </c>
      <c r="L72" s="118">
        <v>58.164997</v>
      </c>
      <c r="M72" s="118">
        <v>50.827480000000001</v>
      </c>
      <c r="N72" s="118">
        <v>48.477646999999997</v>
      </c>
    </row>
    <row r="73" spans="2:14" ht="15" customHeight="1" x14ac:dyDescent="0.2">
      <c r="B73" s="121" t="s">
        <v>341</v>
      </c>
      <c r="C73" s="121"/>
      <c r="D73" s="121"/>
      <c r="E73" s="121"/>
      <c r="F73" s="121"/>
      <c r="G73" s="121"/>
      <c r="H73" s="121"/>
      <c r="I73" s="121"/>
      <c r="J73" s="121"/>
      <c r="K73" s="121"/>
      <c r="L73" s="121"/>
      <c r="M73" s="121"/>
      <c r="N73" s="121"/>
    </row>
    <row r="74" spans="2:14" ht="15" customHeight="1" outlineLevel="1" x14ac:dyDescent="0.2">
      <c r="B74" s="117" t="s">
        <v>342</v>
      </c>
      <c r="C74" s="118">
        <v>0.32761400000000002</v>
      </c>
      <c r="D74" s="118">
        <v>0.50009700000000001</v>
      </c>
      <c r="E74" s="118">
        <v>0.67037500000000005</v>
      </c>
      <c r="F74" s="118">
        <v>0.67385399999999995</v>
      </c>
      <c r="G74" s="118">
        <v>0.49654900000000002</v>
      </c>
      <c r="H74" s="118">
        <v>0.37736999999999998</v>
      </c>
      <c r="I74" s="118">
        <v>0.22505900000000001</v>
      </c>
      <c r="J74" s="118">
        <v>0.28603400000000001</v>
      </c>
      <c r="K74" s="118">
        <v>0.25640400000000002</v>
      </c>
      <c r="L74" s="118">
        <v>0.11111699999999999</v>
      </c>
      <c r="M74" s="118">
        <v>3.0938E-2</v>
      </c>
      <c r="N74" s="118">
        <v>1.6853E-2</v>
      </c>
    </row>
    <row r="75" spans="2:14" ht="15" customHeight="1" outlineLevel="1" x14ac:dyDescent="0.2">
      <c r="B75" s="1" t="s">
        <v>343</v>
      </c>
      <c r="C75" s="116">
        <v>33.823113999999997</v>
      </c>
      <c r="D75" s="116">
        <v>53.645522999999997</v>
      </c>
      <c r="E75" s="116">
        <v>17.646177000000002</v>
      </c>
      <c r="F75" s="116">
        <v>12.935250999999999</v>
      </c>
      <c r="G75" s="116">
        <v>15.597856</v>
      </c>
      <c r="H75" s="116">
        <v>19.591087000000002</v>
      </c>
      <c r="I75" s="116">
        <v>29.023769999999999</v>
      </c>
      <c r="J75" s="116">
        <v>75.534970000000001</v>
      </c>
      <c r="K75" s="116">
        <v>66.353532000000001</v>
      </c>
      <c r="L75" s="116">
        <v>44.548772999999997</v>
      </c>
      <c r="M75" s="116">
        <v>46.484240999999997</v>
      </c>
      <c r="N75" s="116">
        <v>17.660167000000001</v>
      </c>
    </row>
    <row r="76" spans="2:14" ht="15" customHeight="1" outlineLevel="1" x14ac:dyDescent="0.2">
      <c r="B76" s="117" t="s">
        <v>344</v>
      </c>
      <c r="C76" s="118">
        <v>0.39065299999999997</v>
      </c>
      <c r="D76" s="118">
        <v>0.51199899999999998</v>
      </c>
      <c r="E76" s="118">
        <v>0.68444400000000005</v>
      </c>
      <c r="F76" s="118">
        <v>0.690442</v>
      </c>
      <c r="G76" s="118">
        <v>0.504915</v>
      </c>
      <c r="H76" s="118">
        <v>0.384272</v>
      </c>
      <c r="I76" s="118">
        <v>0.327407</v>
      </c>
      <c r="J76" s="118">
        <v>0.34649400000000002</v>
      </c>
      <c r="K76" s="118">
        <v>0.36194500000000002</v>
      </c>
      <c r="L76" s="118">
        <v>0.372141</v>
      </c>
      <c r="M76" s="118">
        <v>0.38131300000000001</v>
      </c>
      <c r="N76" s="118">
        <v>0.36981399999999998</v>
      </c>
    </row>
    <row r="77" spans="2:14" ht="15" customHeight="1" outlineLevel="1" x14ac:dyDescent="0.2">
      <c r="B77" s="1" t="s">
        <v>345</v>
      </c>
      <c r="C77" s="116">
        <v>80.565347000000003</v>
      </c>
      <c r="D77" s="116">
        <v>75.309828999999993</v>
      </c>
      <c r="E77" s="116">
        <v>57.261989999999997</v>
      </c>
      <c r="F77" s="116">
        <v>39.091577999999998</v>
      </c>
      <c r="G77" s="116">
        <v>29.318304000000001</v>
      </c>
      <c r="H77" s="116">
        <v>26.512699000000001</v>
      </c>
      <c r="I77" s="116">
        <v>28.915884999999999</v>
      </c>
      <c r="J77" s="116">
        <v>37.113267</v>
      </c>
      <c r="K77" s="116">
        <v>39.651727999999999</v>
      </c>
      <c r="L77" s="116">
        <v>46.398947999999997</v>
      </c>
      <c r="M77" s="116">
        <v>51.595033999999998</v>
      </c>
      <c r="N77" s="2"/>
    </row>
    <row r="78" spans="2:14" ht="15" customHeight="1" outlineLevel="1" x14ac:dyDescent="0.2">
      <c r="B78" s="117" t="s">
        <v>346</v>
      </c>
      <c r="C78" s="118">
        <v>107.46913600000001</v>
      </c>
      <c r="D78" s="118">
        <v>102.228284</v>
      </c>
      <c r="E78" s="118">
        <v>78.219899999999996</v>
      </c>
      <c r="F78" s="118">
        <v>53.009965999999999</v>
      </c>
      <c r="G78" s="118">
        <v>40.557150999999998</v>
      </c>
      <c r="H78" s="118">
        <v>37.623567999999999</v>
      </c>
      <c r="I78" s="118">
        <v>42.172573</v>
      </c>
      <c r="J78" s="118">
        <v>57.459229999999998</v>
      </c>
      <c r="K78" s="118">
        <v>64.852563000000004</v>
      </c>
      <c r="L78" s="118">
        <v>79.478286999999995</v>
      </c>
      <c r="M78" s="118">
        <v>92.164344</v>
      </c>
      <c r="N78" s="125"/>
    </row>
    <row r="79" spans="2:14" ht="15" customHeight="1" outlineLevel="1" x14ac:dyDescent="0.2">
      <c r="B79" s="1" t="s">
        <v>347</v>
      </c>
      <c r="C79" s="116">
        <v>80.565347000000003</v>
      </c>
      <c r="D79" s="116">
        <v>75.309828999999993</v>
      </c>
      <c r="E79" s="116">
        <v>57.261989999999997</v>
      </c>
      <c r="F79" s="116">
        <v>39.091577999999998</v>
      </c>
      <c r="G79" s="116">
        <v>29.318304000000001</v>
      </c>
      <c r="H79" s="116">
        <v>26.512699000000001</v>
      </c>
      <c r="I79" s="116">
        <v>28.915884999999999</v>
      </c>
      <c r="J79" s="116">
        <v>37.113267</v>
      </c>
      <c r="K79" s="116">
        <v>39.651727999999999</v>
      </c>
      <c r="L79" s="116">
        <v>46.398947999999997</v>
      </c>
      <c r="M79" s="116">
        <v>51.595033999999998</v>
      </c>
      <c r="N79" s="2"/>
    </row>
    <row r="80" spans="2:14" ht="15" customHeight="1" outlineLevel="1" x14ac:dyDescent="0.2">
      <c r="B80" s="117" t="s">
        <v>348</v>
      </c>
      <c r="C80" s="118">
        <v>41.935504000000002</v>
      </c>
      <c r="D80" s="118">
        <v>10.356116</v>
      </c>
      <c r="E80" s="119">
        <v>-8.0493919999999992</v>
      </c>
      <c r="F80" s="118">
        <v>10.096068000000001</v>
      </c>
      <c r="G80" s="118">
        <v>24.670642999999998</v>
      </c>
      <c r="H80" s="118">
        <v>36.182893</v>
      </c>
      <c r="I80" s="118">
        <v>56.317411</v>
      </c>
      <c r="J80" s="118">
        <v>81.195211</v>
      </c>
      <c r="K80" s="118">
        <v>83.530274000000006</v>
      </c>
      <c r="L80" s="118">
        <v>100.439369</v>
      </c>
      <c r="M80" s="118">
        <v>108.321186</v>
      </c>
      <c r="N80" s="125"/>
    </row>
    <row r="81" spans="2:14" ht="15" customHeight="1" outlineLevel="1" x14ac:dyDescent="0.2">
      <c r="B81" s="1" t="s">
        <v>349</v>
      </c>
      <c r="C81" s="116">
        <v>2.6691199999999999</v>
      </c>
      <c r="D81" s="116">
        <v>2.8041299999999998</v>
      </c>
      <c r="E81" s="116">
        <v>2.835585</v>
      </c>
      <c r="F81" s="116">
        <v>2.7659029999999998</v>
      </c>
      <c r="G81" s="116">
        <v>2.5811709999999999</v>
      </c>
      <c r="H81" s="116">
        <v>2.493563</v>
      </c>
      <c r="I81" s="116">
        <v>2.524775</v>
      </c>
      <c r="J81" s="116">
        <v>2.6318999999999999</v>
      </c>
      <c r="K81" s="116">
        <v>2.8166799999999999</v>
      </c>
      <c r="L81" s="116">
        <v>2.9434499999999999</v>
      </c>
      <c r="M81" s="116">
        <v>3.029725</v>
      </c>
      <c r="N81" s="116">
        <v>2.907295</v>
      </c>
    </row>
    <row r="82" spans="2:14" ht="15" customHeight="1" outlineLevel="1" x14ac:dyDescent="0.2">
      <c r="B82" s="117" t="s">
        <v>350</v>
      </c>
      <c r="C82" s="118">
        <v>3.3460909999999999</v>
      </c>
      <c r="D82" s="118">
        <v>3.5827429999999998</v>
      </c>
      <c r="E82" s="118">
        <v>3.6791489999999998</v>
      </c>
      <c r="F82" s="118">
        <v>3.6015799999999998</v>
      </c>
      <c r="G82" s="118">
        <v>3.4161169999999998</v>
      </c>
      <c r="H82" s="118">
        <v>3.3575170000000001</v>
      </c>
      <c r="I82" s="118">
        <v>3.1544789999999998</v>
      </c>
      <c r="J82" s="118">
        <v>3.1661190000000001</v>
      </c>
      <c r="K82" s="118">
        <v>3.2746300000000002</v>
      </c>
      <c r="L82" s="118">
        <v>3.2093660000000002</v>
      </c>
      <c r="M82" s="118">
        <v>3.3046359999999999</v>
      </c>
      <c r="N82" s="118">
        <v>3.1782650000000001</v>
      </c>
    </row>
    <row r="83" spans="2:14" ht="15" customHeight="1" outlineLevel="1" x14ac:dyDescent="0.2">
      <c r="B83" s="1" t="s">
        <v>351</v>
      </c>
      <c r="C83" s="116">
        <v>3.1598700000000002</v>
      </c>
      <c r="D83" s="116">
        <v>3.3344179999999999</v>
      </c>
      <c r="E83" s="116">
        <v>3.4525670000000002</v>
      </c>
      <c r="F83" s="116">
        <v>3.397681</v>
      </c>
      <c r="G83" s="116">
        <v>3.1885370000000002</v>
      </c>
      <c r="H83" s="116">
        <v>3.1158450000000002</v>
      </c>
      <c r="I83" s="116">
        <v>3.023568</v>
      </c>
      <c r="J83" s="116">
        <v>2.9787430000000001</v>
      </c>
      <c r="K83" s="116">
        <v>3.124136</v>
      </c>
      <c r="L83" s="116">
        <v>3.2159550000000001</v>
      </c>
      <c r="M83" s="116">
        <v>3.4004379999999998</v>
      </c>
      <c r="N83" s="116">
        <v>3.277755</v>
      </c>
    </row>
    <row r="84" spans="2:14" ht="15" customHeight="1" outlineLevel="1" x14ac:dyDescent="0.2">
      <c r="B84" s="117" t="s">
        <v>352</v>
      </c>
      <c r="C84" s="118">
        <v>0.135046</v>
      </c>
      <c r="D84" s="118">
        <v>3.3489999999999999E-2</v>
      </c>
      <c r="E84" s="119">
        <v>-3.3897999999999998E-2</v>
      </c>
      <c r="F84" s="118">
        <v>6.4595E-2</v>
      </c>
      <c r="G84" s="118">
        <v>0.219302</v>
      </c>
      <c r="H84" s="118">
        <v>0.35699900000000001</v>
      </c>
      <c r="I84" s="118">
        <v>0.488008</v>
      </c>
      <c r="J84" s="118">
        <v>0.494448</v>
      </c>
      <c r="K84" s="118">
        <v>0.42120400000000002</v>
      </c>
      <c r="L84" s="118">
        <v>0.39510899999999999</v>
      </c>
      <c r="M84" s="118">
        <v>0.35672100000000001</v>
      </c>
      <c r="N84" s="118">
        <v>0.35762500000000003</v>
      </c>
    </row>
    <row r="85" spans="2:14" ht="15" customHeight="1" outlineLevel="1" x14ac:dyDescent="0.2">
      <c r="B85" s="1" t="s">
        <v>353</v>
      </c>
      <c r="C85" s="116">
        <v>8.9806299999999997</v>
      </c>
      <c r="D85" s="116">
        <v>5.7415799999999999</v>
      </c>
      <c r="E85" s="116">
        <v>13.394130000000001</v>
      </c>
      <c r="F85" s="116">
        <v>12.015173000000001</v>
      </c>
      <c r="G85" s="116">
        <v>7.1905239999999999</v>
      </c>
      <c r="H85" s="116">
        <v>5.1601720000000002</v>
      </c>
      <c r="I85" s="116">
        <v>3.8274270000000001</v>
      </c>
      <c r="J85" s="116">
        <v>2.1280190000000001</v>
      </c>
      <c r="K85" s="116">
        <v>2.8855780000000002</v>
      </c>
      <c r="L85" s="116">
        <v>5.2405710000000001</v>
      </c>
      <c r="M85" s="116">
        <v>5.8377990000000004</v>
      </c>
      <c r="N85" s="2"/>
    </row>
    <row r="86" spans="2:14" ht="15" customHeight="1" x14ac:dyDescent="0.2">
      <c r="B86" s="115" t="s">
        <v>354</v>
      </c>
      <c r="C86" s="115"/>
      <c r="D86" s="115"/>
      <c r="E86" s="115"/>
      <c r="F86" s="115"/>
      <c r="G86" s="115"/>
      <c r="H86" s="115"/>
      <c r="I86" s="115"/>
      <c r="J86" s="115"/>
      <c r="K86" s="115"/>
      <c r="L86" s="115"/>
      <c r="M86" s="115"/>
      <c r="N86" s="115"/>
    </row>
    <row r="87" spans="2:14" ht="15" customHeight="1" outlineLevel="1" x14ac:dyDescent="0.2">
      <c r="B87" s="1" t="s">
        <v>355</v>
      </c>
      <c r="C87" s="116">
        <v>96.092104000000006</v>
      </c>
      <c r="D87" s="116">
        <v>97.396348000000003</v>
      </c>
      <c r="E87" s="116">
        <v>97.892606999999998</v>
      </c>
      <c r="F87" s="116">
        <v>98.544633000000005</v>
      </c>
      <c r="G87" s="116">
        <v>89.869226999999995</v>
      </c>
      <c r="H87" s="116">
        <v>83.273814000000002</v>
      </c>
      <c r="I87" s="116">
        <v>80.630460999999997</v>
      </c>
      <c r="J87" s="116">
        <v>77.509101999999999</v>
      </c>
      <c r="K87" s="116">
        <v>77.372336000000004</v>
      </c>
      <c r="L87" s="116">
        <v>76.071414000000004</v>
      </c>
      <c r="M87" s="116">
        <v>74.045631</v>
      </c>
      <c r="N87" s="116">
        <v>71.230250999999996</v>
      </c>
    </row>
    <row r="88" spans="2:14" ht="15" customHeight="1" outlineLevel="1" x14ac:dyDescent="0.2">
      <c r="B88" s="117" t="s">
        <v>356</v>
      </c>
      <c r="C88" s="118">
        <v>47.098287999999997</v>
      </c>
      <c r="D88" s="118">
        <v>47.495781999999998</v>
      </c>
      <c r="E88" s="118">
        <v>47.798485999999997</v>
      </c>
      <c r="F88" s="118">
        <v>48.058964000000003</v>
      </c>
      <c r="G88" s="118">
        <v>45.717562999999998</v>
      </c>
      <c r="H88" s="118">
        <v>43.836815000000001</v>
      </c>
      <c r="I88" s="118">
        <v>43.028137000000001</v>
      </c>
      <c r="J88" s="118">
        <v>42.086697000000001</v>
      </c>
      <c r="K88" s="118">
        <v>42.050503999999997</v>
      </c>
      <c r="L88" s="118">
        <v>41.646104999999999</v>
      </c>
      <c r="M88" s="118">
        <v>41.017378999999998</v>
      </c>
      <c r="N88" s="118">
        <v>40.080964999999999</v>
      </c>
    </row>
    <row r="89" spans="2:14" ht="15" customHeight="1" outlineLevel="1" x14ac:dyDescent="0.2">
      <c r="B89" s="1" t="s">
        <v>357</v>
      </c>
      <c r="C89" s="116">
        <v>34.612845</v>
      </c>
      <c r="D89" s="116">
        <v>34.657046000000001</v>
      </c>
      <c r="E89" s="116">
        <v>36.499133</v>
      </c>
      <c r="F89" s="116">
        <v>37.530847999999999</v>
      </c>
      <c r="G89" s="116">
        <v>35.830354</v>
      </c>
      <c r="H89" s="116">
        <v>33.674050000000001</v>
      </c>
      <c r="I89" s="116">
        <v>32.777946</v>
      </c>
      <c r="J89" s="116">
        <v>32.10031</v>
      </c>
      <c r="K89" s="116">
        <v>32.8977</v>
      </c>
      <c r="L89" s="116">
        <v>32.313262000000002</v>
      </c>
      <c r="M89" s="116">
        <v>31.692446</v>
      </c>
      <c r="N89" s="116">
        <v>30.607182000000002</v>
      </c>
    </row>
    <row r="90" spans="2:14" ht="15" customHeight="1" outlineLevel="1" x14ac:dyDescent="0.2">
      <c r="B90" s="117" t="s">
        <v>358</v>
      </c>
      <c r="C90" s="118">
        <v>37.470177</v>
      </c>
      <c r="D90" s="118">
        <v>37.385165000000001</v>
      </c>
      <c r="E90" s="118">
        <v>39.075564999999997</v>
      </c>
      <c r="F90" s="118">
        <v>40.008209000000001</v>
      </c>
      <c r="G90" s="118">
        <v>38.503844999999998</v>
      </c>
      <c r="H90" s="118">
        <v>36.379083999999999</v>
      </c>
      <c r="I90" s="118">
        <v>35.525869999999998</v>
      </c>
      <c r="J90" s="118">
        <v>34.856977000000001</v>
      </c>
      <c r="K90" s="118">
        <v>35.715097999999998</v>
      </c>
      <c r="L90" s="118">
        <v>35.112583000000001</v>
      </c>
      <c r="M90" s="118">
        <v>34.464661</v>
      </c>
      <c r="N90" s="118">
        <v>33.394027000000001</v>
      </c>
    </row>
    <row r="91" spans="2:14" ht="15" customHeight="1" outlineLevel="1" x14ac:dyDescent="0.2">
      <c r="B91" s="1" t="s">
        <v>359</v>
      </c>
      <c r="C91" s="116">
        <v>101.75511299999999</v>
      </c>
      <c r="D91" s="116">
        <v>104.649779</v>
      </c>
      <c r="E91" s="116">
        <v>104.317021</v>
      </c>
      <c r="F91" s="116">
        <v>104.458428</v>
      </c>
      <c r="G91" s="116">
        <v>96.283593999999994</v>
      </c>
      <c r="H91" s="116">
        <v>89.732724000000005</v>
      </c>
      <c r="I91" s="116">
        <v>84.121516</v>
      </c>
      <c r="J91" s="116">
        <v>82.384787000000003</v>
      </c>
      <c r="K91" s="116">
        <v>81.099463999999998</v>
      </c>
      <c r="L91" s="116">
        <v>75.915546000000006</v>
      </c>
      <c r="M91" s="116">
        <v>71.959518000000003</v>
      </c>
      <c r="N91" s="116">
        <v>69.068196999999998</v>
      </c>
    </row>
    <row r="92" spans="2:14" ht="15" customHeight="1" outlineLevel="1" x14ac:dyDescent="0.2">
      <c r="B92" s="117" t="s">
        <v>360</v>
      </c>
      <c r="C92" s="118">
        <v>104.02462300000001</v>
      </c>
      <c r="D92" s="118">
        <v>105.063154</v>
      </c>
      <c r="E92" s="118">
        <v>104.802735</v>
      </c>
      <c r="F92" s="118">
        <v>105.04943299999999</v>
      </c>
      <c r="G92" s="118">
        <v>96.574843000000001</v>
      </c>
      <c r="H92" s="118">
        <v>89.963194000000001</v>
      </c>
      <c r="I92" s="118">
        <v>87.390080999999995</v>
      </c>
      <c r="J92" s="118">
        <v>84.165324999999996</v>
      </c>
      <c r="K92" s="118">
        <v>83.998594999999995</v>
      </c>
      <c r="L92" s="118">
        <v>82.661534000000003</v>
      </c>
      <c r="M92" s="118">
        <v>80.522582</v>
      </c>
      <c r="N92" s="118">
        <v>77.715907999999999</v>
      </c>
    </row>
    <row r="93" spans="2:14" ht="15" customHeight="1" outlineLevel="1" x14ac:dyDescent="0.2">
      <c r="B93" s="1" t="s">
        <v>361</v>
      </c>
      <c r="C93" s="116">
        <v>49.873936999999998</v>
      </c>
      <c r="D93" s="116">
        <v>51.032950999999997</v>
      </c>
      <c r="E93" s="116">
        <v>50.935364999999997</v>
      </c>
      <c r="F93" s="116">
        <v>50.943046000000002</v>
      </c>
      <c r="G93" s="116">
        <v>48.980629</v>
      </c>
      <c r="H93" s="116">
        <v>47.236899999999999</v>
      </c>
      <c r="I93" s="116">
        <v>44.891125000000002</v>
      </c>
      <c r="J93" s="116">
        <v>44.734147</v>
      </c>
      <c r="K93" s="116">
        <v>44.076132000000001</v>
      </c>
      <c r="L93" s="116">
        <v>41.560772999999998</v>
      </c>
      <c r="M93" s="116">
        <v>39.861781999999998</v>
      </c>
      <c r="N93" s="116">
        <v>38.864386000000003</v>
      </c>
    </row>
    <row r="94" spans="2:14" ht="15" customHeight="1" outlineLevel="1" x14ac:dyDescent="0.2">
      <c r="B94" s="117" t="s">
        <v>362</v>
      </c>
      <c r="C94" s="118">
        <v>50.986308000000001</v>
      </c>
      <c r="D94" s="118">
        <v>51.234535000000001</v>
      </c>
      <c r="E94" s="118">
        <v>51.172527000000002</v>
      </c>
      <c r="F94" s="118">
        <v>51.231271999999997</v>
      </c>
      <c r="G94" s="118">
        <v>49.128791</v>
      </c>
      <c r="H94" s="118">
        <v>47.358224</v>
      </c>
      <c r="I94" s="118">
        <v>46.635382</v>
      </c>
      <c r="J94" s="118">
        <v>45.700961999999997</v>
      </c>
      <c r="K94" s="118">
        <v>45.651758999999998</v>
      </c>
      <c r="L94" s="118">
        <v>45.253936000000003</v>
      </c>
      <c r="M94" s="118">
        <v>44.605268000000002</v>
      </c>
      <c r="N94" s="118">
        <v>43.730417000000003</v>
      </c>
    </row>
    <row r="95" spans="2:14" ht="15" customHeight="1" x14ac:dyDescent="0.2">
      <c r="B95" s="126" t="s">
        <v>363</v>
      </c>
    </row>
    <row r="96" spans="2:14" ht="15" customHeight="1" x14ac:dyDescent="0.2"/>
    <row r="97" ht="15" customHeight="1" x14ac:dyDescent="0.2"/>
    <row r="98" ht="15" customHeight="1" x14ac:dyDescent="0.2"/>
    <row r="99" ht="15" customHeight="1" x14ac:dyDescent="0.2"/>
    <row r="100" ht="15" customHeight="1" x14ac:dyDescent="0.2"/>
    <row r="101" ht="15" customHeight="1" x14ac:dyDescent="0.2"/>
    <row r="102" ht="15" customHeight="1" x14ac:dyDescent="0.2"/>
    <row r="103" ht="15" customHeight="1" x14ac:dyDescent="0.2"/>
    <row r="104" ht="15" customHeight="1" x14ac:dyDescent="0.2"/>
    <row r="105" ht="15" customHeight="1" x14ac:dyDescent="0.2"/>
    <row r="106" ht="15" customHeight="1" x14ac:dyDescent="0.2"/>
    <row r="107" ht="15" customHeight="1" x14ac:dyDescent="0.2"/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C4206C-C0F5-A14A-8DFA-07E421BB89F9}">
  <dimension ref="B1:S68"/>
  <sheetViews>
    <sheetView showGridLines="0" zoomScale="130" zoomScaleNormal="130" workbookViewId="0"/>
  </sheetViews>
  <sheetFormatPr baseColWidth="10" defaultColWidth="9.1640625" defaultRowHeight="15" x14ac:dyDescent="0.2"/>
  <cols>
    <col min="1" max="1" width="1.6640625" customWidth="1"/>
    <col min="2" max="2" width="26.33203125" customWidth="1"/>
    <col min="3" max="4" width="10.5" customWidth="1"/>
    <col min="5" max="5" width="8.6640625" customWidth="1"/>
    <col min="6" max="6" width="13.6640625" customWidth="1"/>
    <col min="7" max="7" width="10.5" customWidth="1"/>
    <col min="8" max="8" width="9" customWidth="1"/>
    <col min="9" max="9" width="13.5" customWidth="1"/>
    <col min="10" max="10" width="10.5" customWidth="1"/>
    <col min="11" max="11" width="9" customWidth="1"/>
    <col min="12" max="12" width="11.83203125" customWidth="1"/>
    <col min="13" max="13" width="16.6640625" customWidth="1"/>
    <col min="14" max="16" width="8.5" customWidth="1"/>
    <col min="17" max="18" width="8.1640625" customWidth="1"/>
    <col min="19" max="19" width="8.5" customWidth="1"/>
  </cols>
  <sheetData>
    <row r="1" spans="2:19" ht="15" customHeight="1" x14ac:dyDescent="0.2">
      <c r="B1" s="112" t="s">
        <v>262</v>
      </c>
    </row>
    <row r="2" spans="2:19" ht="15" customHeight="1" x14ac:dyDescent="0.2">
      <c r="B2" s="127" t="s">
        <v>364</v>
      </c>
    </row>
    <row r="3" spans="2:19" ht="15" customHeight="1" x14ac:dyDescent="0.2">
      <c r="B3" s="113"/>
      <c r="C3" s="113"/>
      <c r="D3" s="113"/>
      <c r="E3" s="113"/>
      <c r="F3" s="113"/>
      <c r="G3" s="113"/>
      <c r="H3" s="113"/>
      <c r="I3" s="113"/>
      <c r="J3" s="113"/>
      <c r="K3" s="113"/>
      <c r="L3" s="113"/>
      <c r="M3" s="113"/>
      <c r="N3" s="113"/>
      <c r="O3" s="113"/>
      <c r="P3" s="113"/>
      <c r="Q3" s="113"/>
      <c r="R3" s="113"/>
      <c r="S3" s="113"/>
    </row>
    <row r="4" spans="2:19" ht="15" customHeight="1" x14ac:dyDescent="0.2"/>
    <row r="5" spans="2:19" ht="15" customHeight="1" x14ac:dyDescent="0.2">
      <c r="B5" s="112" t="s">
        <v>365</v>
      </c>
    </row>
    <row r="6" spans="2:19" ht="15" customHeight="1" x14ac:dyDescent="0.2">
      <c r="B6" s="112" t="s">
        <v>366</v>
      </c>
    </row>
    <row r="7" spans="2:19" ht="15" customHeight="1" x14ac:dyDescent="0.2">
      <c r="B7" s="114"/>
      <c r="C7" s="114"/>
      <c r="D7" s="114"/>
      <c r="E7" s="114" t="s">
        <v>367</v>
      </c>
      <c r="F7" s="114"/>
      <c r="G7" s="114"/>
      <c r="H7" s="114"/>
      <c r="I7" s="114"/>
      <c r="J7" s="114" t="s">
        <v>368</v>
      </c>
      <c r="K7" s="114"/>
      <c r="L7" s="114"/>
      <c r="M7" s="114" t="s">
        <v>369</v>
      </c>
      <c r="N7" s="114"/>
    </row>
    <row r="8" spans="2:19" ht="15" customHeight="1" x14ac:dyDescent="0.2">
      <c r="B8" s="114" t="s">
        <v>370</v>
      </c>
      <c r="C8" s="114"/>
      <c r="D8" s="114" t="s">
        <v>371</v>
      </c>
      <c r="E8" s="114"/>
      <c r="F8" s="114"/>
      <c r="G8" s="114"/>
      <c r="H8" s="114" t="s">
        <v>372</v>
      </c>
      <c r="I8" s="114" t="s">
        <v>372</v>
      </c>
      <c r="J8" s="114"/>
      <c r="K8" s="114"/>
      <c r="L8" s="114"/>
      <c r="M8" s="114" t="s">
        <v>373</v>
      </c>
      <c r="N8" s="114" t="s">
        <v>373</v>
      </c>
    </row>
    <row r="9" spans="2:19" ht="15" customHeight="1" x14ac:dyDescent="0.2">
      <c r="B9" s="114" t="s">
        <v>374</v>
      </c>
      <c r="C9" s="114" t="s">
        <v>375</v>
      </c>
      <c r="D9" s="114" t="s">
        <v>376</v>
      </c>
      <c r="E9" s="114" t="s">
        <v>377</v>
      </c>
      <c r="F9" s="114" t="s">
        <v>378</v>
      </c>
      <c r="G9" s="114" t="s">
        <v>379</v>
      </c>
      <c r="H9" s="114" t="s">
        <v>380</v>
      </c>
      <c r="I9" s="114" t="s">
        <v>381</v>
      </c>
      <c r="J9" s="114" t="s">
        <v>382</v>
      </c>
      <c r="K9" s="114" t="s">
        <v>383</v>
      </c>
      <c r="L9" s="114" t="s">
        <v>384</v>
      </c>
      <c r="M9" s="114" t="s">
        <v>77</v>
      </c>
      <c r="N9" s="114" t="s">
        <v>385</v>
      </c>
    </row>
    <row r="10" spans="2:19" ht="15" customHeight="1" x14ac:dyDescent="0.2">
      <c r="B10" s="125" t="s">
        <v>386</v>
      </c>
      <c r="C10" s="125" t="s">
        <v>387</v>
      </c>
      <c r="D10" s="125" t="s">
        <v>388</v>
      </c>
      <c r="E10" s="118">
        <v>67.019997000000004</v>
      </c>
      <c r="F10" s="128">
        <v>7311.2994129999997</v>
      </c>
      <c r="G10" s="128">
        <v>7320.260413</v>
      </c>
      <c r="H10" s="128">
        <v>107.60556</v>
      </c>
      <c r="I10" s="128">
        <v>108.319</v>
      </c>
      <c r="J10" s="128">
        <v>4455.7700000000004</v>
      </c>
      <c r="K10" s="128">
        <v>299.76100000000002</v>
      </c>
      <c r="L10" s="128">
        <v>529.36099999999999</v>
      </c>
      <c r="M10" s="129">
        <v>24.420323</v>
      </c>
      <c r="N10" s="129">
        <v>13.828485000000001</v>
      </c>
    </row>
    <row r="11" spans="2:19" ht="15" customHeight="1" x14ac:dyDescent="0.2">
      <c r="B11" s="2" t="s">
        <v>528</v>
      </c>
      <c r="C11" s="2" t="s">
        <v>529</v>
      </c>
      <c r="D11" s="2" t="s">
        <v>388</v>
      </c>
      <c r="E11" s="116">
        <v>114.08000199999999</v>
      </c>
      <c r="F11" s="130">
        <v>13091.748605000001</v>
      </c>
      <c r="G11" s="130">
        <v>16642.237604999998</v>
      </c>
      <c r="H11" s="130">
        <v>113.742813</v>
      </c>
      <c r="I11" s="130">
        <v>118.98</v>
      </c>
      <c r="J11" s="130">
        <v>16400.491999999998</v>
      </c>
      <c r="K11" s="130">
        <v>1595.249</v>
      </c>
      <c r="L11" s="130">
        <v>2157.1779999999999</v>
      </c>
      <c r="M11" s="131">
        <v>10.432376</v>
      </c>
      <c r="N11" s="131">
        <v>7.7148190000000003</v>
      </c>
    </row>
    <row r="12" spans="2:19" ht="15" customHeight="1" x14ac:dyDescent="0.2">
      <c r="B12" s="125" t="s">
        <v>393</v>
      </c>
      <c r="C12" s="125" t="s">
        <v>394</v>
      </c>
      <c r="D12" s="125" t="s">
        <v>395</v>
      </c>
      <c r="E12" s="118">
        <v>212.770004</v>
      </c>
      <c r="F12" s="128">
        <v>119684.993158</v>
      </c>
      <c r="G12" s="128">
        <v>153038.993158</v>
      </c>
      <c r="H12" s="128">
        <v>559.70654300000001</v>
      </c>
      <c r="I12" s="128">
        <v>568</v>
      </c>
      <c r="J12" s="128">
        <v>83674</v>
      </c>
      <c r="K12" s="128">
        <v>10112</v>
      </c>
      <c r="L12" s="128">
        <v>12084</v>
      </c>
      <c r="M12" s="129">
        <v>15.134394</v>
      </c>
      <c r="N12" s="129">
        <v>12.664597000000001</v>
      </c>
    </row>
    <row r="13" spans="2:19" ht="15" customHeight="1" x14ac:dyDescent="0.2">
      <c r="B13" s="2" t="s">
        <v>530</v>
      </c>
      <c r="C13" s="2" t="s">
        <v>531</v>
      </c>
      <c r="D13" s="2" t="s">
        <v>388</v>
      </c>
      <c r="E13" s="116">
        <v>5.44</v>
      </c>
      <c r="F13" s="130">
        <v>242.938965</v>
      </c>
      <c r="G13" s="130">
        <v>221.981965</v>
      </c>
      <c r="H13" s="130">
        <v>44.657898000000003</v>
      </c>
      <c r="I13" s="130">
        <v>43.851652999999999</v>
      </c>
      <c r="J13" s="130">
        <v>347.07100000000003</v>
      </c>
      <c r="K13" s="130">
        <v>4.4660000000000002</v>
      </c>
      <c r="L13" s="130">
        <v>22.225000000000001</v>
      </c>
      <c r="M13" s="131">
        <v>49.704872999999999</v>
      </c>
      <c r="N13" s="131">
        <v>9.98794</v>
      </c>
    </row>
    <row r="14" spans="2:19" ht="15" customHeight="1" x14ac:dyDescent="0.2">
      <c r="B14" s="125" t="s">
        <v>396</v>
      </c>
      <c r="C14" s="125" t="s">
        <v>397</v>
      </c>
      <c r="D14" s="125" t="s">
        <v>395</v>
      </c>
      <c r="E14" s="118">
        <v>346.89999399999999</v>
      </c>
      <c r="F14" s="128">
        <v>346537.17611499998</v>
      </c>
      <c r="G14" s="128">
        <v>398261.17611499998</v>
      </c>
      <c r="H14" s="128">
        <v>993.92816200000004</v>
      </c>
      <c r="I14" s="128">
        <v>993</v>
      </c>
      <c r="J14" s="128">
        <v>159514</v>
      </c>
      <c r="K14" s="128">
        <v>21526</v>
      </c>
      <c r="L14" s="128">
        <v>25234</v>
      </c>
      <c r="M14" s="129">
        <v>18.501401999999999</v>
      </c>
      <c r="N14" s="129">
        <v>15.782721</v>
      </c>
    </row>
    <row r="15" spans="2:19" ht="15" customHeight="1" x14ac:dyDescent="0.2">
      <c r="B15" s="2" t="s">
        <v>390</v>
      </c>
      <c r="C15" s="2" t="s">
        <v>391</v>
      </c>
      <c r="D15" s="2" t="s">
        <v>392</v>
      </c>
      <c r="E15" s="116">
        <v>10.9</v>
      </c>
      <c r="F15" s="130">
        <v>34.180244000000002</v>
      </c>
      <c r="G15" s="130">
        <v>176.381596</v>
      </c>
      <c r="H15" s="130">
        <v>3.1064310000000002</v>
      </c>
      <c r="I15" s="130">
        <v>3.1248200000000002</v>
      </c>
      <c r="J15" s="130">
        <v>466.755</v>
      </c>
      <c r="K15" s="130">
        <v>1.633</v>
      </c>
      <c r="L15" s="130">
        <v>25.645</v>
      </c>
      <c r="M15" s="131">
        <v>108.010775</v>
      </c>
      <c r="N15" s="131">
        <v>6.8778160000000002</v>
      </c>
    </row>
    <row r="16" spans="2:19" ht="15" customHeight="1" x14ac:dyDescent="0.2">
      <c r="B16" s="125" t="s">
        <v>398</v>
      </c>
      <c r="C16" s="125" t="s">
        <v>399</v>
      </c>
      <c r="D16" s="125" t="s">
        <v>388</v>
      </c>
      <c r="E16" s="118">
        <v>0.81140000000000001</v>
      </c>
      <c r="F16" s="128">
        <v>44.359208000000002</v>
      </c>
      <c r="G16" s="128">
        <v>52.656413000000001</v>
      </c>
      <c r="H16" s="128">
        <v>42.032707000000002</v>
      </c>
      <c r="I16" s="128">
        <v>41.998806999999999</v>
      </c>
      <c r="J16" s="128">
        <v>65.464839999999995</v>
      </c>
      <c r="K16" s="140">
        <v>-0.95701000000000003</v>
      </c>
      <c r="L16" s="128">
        <v>1.90476</v>
      </c>
      <c r="M16" s="125" t="s">
        <v>389</v>
      </c>
      <c r="N16" s="129">
        <v>27.644644</v>
      </c>
    </row>
    <row r="17" spans="2:15" ht="15" customHeight="1" x14ac:dyDescent="0.2">
      <c r="B17" s="2" t="s">
        <v>400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131">
        <v>37.700690999999999</v>
      </c>
      <c r="N17" s="131">
        <v>13.500146000000001</v>
      </c>
    </row>
    <row r="18" spans="2:15" ht="15" customHeight="1" x14ac:dyDescent="0.2">
      <c r="B18" s="125" t="s">
        <v>401</v>
      </c>
      <c r="C18" s="125"/>
      <c r="D18" s="125"/>
      <c r="E18" s="125"/>
      <c r="F18" s="125"/>
      <c r="G18" s="125"/>
      <c r="H18" s="125"/>
      <c r="I18" s="125"/>
      <c r="J18" s="125"/>
      <c r="K18" s="125"/>
      <c r="L18" s="125"/>
      <c r="M18" s="129">
        <v>21.460861999999999</v>
      </c>
      <c r="N18" s="129">
        <v>12.664597000000001</v>
      </c>
    </row>
    <row r="19" spans="2:15" ht="15" customHeight="1" x14ac:dyDescent="0.2">
      <c r="B19" s="112" t="s">
        <v>36</v>
      </c>
    </row>
    <row r="20" spans="2:15" ht="15" customHeight="1" x14ac:dyDescent="0.2">
      <c r="B20" s="114"/>
      <c r="C20" s="114"/>
      <c r="D20" s="114"/>
      <c r="E20" s="114"/>
      <c r="F20" s="114"/>
      <c r="G20" s="114" t="s">
        <v>402</v>
      </c>
      <c r="H20" s="114"/>
      <c r="I20" s="114"/>
      <c r="J20" s="114" t="s">
        <v>403</v>
      </c>
      <c r="K20" s="114"/>
      <c r="L20" s="114"/>
      <c r="M20" s="114" t="s">
        <v>368</v>
      </c>
      <c r="N20" s="114"/>
      <c r="O20" s="114"/>
    </row>
    <row r="21" spans="2:15" ht="15" customHeight="1" x14ac:dyDescent="0.2">
      <c r="B21" s="114" t="s">
        <v>370</v>
      </c>
      <c r="C21" s="114"/>
      <c r="D21" s="114" t="s">
        <v>371</v>
      </c>
      <c r="E21" s="114" t="s">
        <v>404</v>
      </c>
      <c r="F21" s="114"/>
      <c r="G21" s="114"/>
      <c r="H21" s="114"/>
      <c r="I21" s="114"/>
      <c r="J21" s="114"/>
      <c r="K21" s="114"/>
      <c r="L21" s="114"/>
      <c r="M21" s="114"/>
      <c r="N21" s="114"/>
      <c r="O21" s="114"/>
    </row>
    <row r="22" spans="2:15" ht="15" customHeight="1" x14ac:dyDescent="0.2">
      <c r="B22" s="114" t="s">
        <v>374</v>
      </c>
      <c r="C22" s="114" t="s">
        <v>375</v>
      </c>
      <c r="D22" s="114" t="s">
        <v>376</v>
      </c>
      <c r="E22" s="114" t="s">
        <v>405</v>
      </c>
      <c r="F22" s="114" t="s">
        <v>379</v>
      </c>
      <c r="G22" s="114" t="s">
        <v>406</v>
      </c>
      <c r="H22" s="114" t="s">
        <v>404</v>
      </c>
      <c r="I22" s="114" t="s">
        <v>407</v>
      </c>
      <c r="J22" s="114" t="s">
        <v>5</v>
      </c>
      <c r="K22" s="114" t="s">
        <v>77</v>
      </c>
      <c r="L22" s="114" t="s">
        <v>385</v>
      </c>
      <c r="M22" s="114" t="s">
        <v>382</v>
      </c>
      <c r="N22" s="114" t="s">
        <v>383</v>
      </c>
      <c r="O22" s="114" t="s">
        <v>384</v>
      </c>
    </row>
    <row r="23" spans="2:15" ht="15" customHeight="1" x14ac:dyDescent="0.2">
      <c r="B23" s="125" t="s">
        <v>386</v>
      </c>
      <c r="C23" s="125" t="s">
        <v>387</v>
      </c>
      <c r="D23" s="125" t="s">
        <v>388</v>
      </c>
      <c r="E23" s="125" t="s">
        <v>408</v>
      </c>
      <c r="F23" s="128">
        <v>7320.260413</v>
      </c>
      <c r="G23" s="129">
        <v>35.262549</v>
      </c>
      <c r="H23" s="129">
        <v>34.010928999999997</v>
      </c>
      <c r="I23" s="129">
        <v>26.333189000000001</v>
      </c>
      <c r="J23" s="129">
        <v>1.6428720000000001</v>
      </c>
      <c r="K23" s="129">
        <v>24.420323</v>
      </c>
      <c r="L23" s="129">
        <v>13.828485000000001</v>
      </c>
      <c r="M23" s="128">
        <v>4455.7700000000004</v>
      </c>
      <c r="N23" s="128">
        <v>299.76100000000002</v>
      </c>
      <c r="O23" s="128">
        <v>529.36099999999999</v>
      </c>
    </row>
    <row r="24" spans="2:15" ht="15" customHeight="1" x14ac:dyDescent="0.2">
      <c r="B24" s="2" t="s">
        <v>528</v>
      </c>
      <c r="C24" s="2" t="s">
        <v>529</v>
      </c>
      <c r="D24" s="2" t="s">
        <v>388</v>
      </c>
      <c r="E24" s="2" t="s">
        <v>408</v>
      </c>
      <c r="F24" s="130">
        <v>16642.237604999998</v>
      </c>
      <c r="G24" s="131">
        <v>12.592306000000001</v>
      </c>
      <c r="H24" s="131">
        <v>12.217435999999999</v>
      </c>
      <c r="I24" s="131">
        <v>10.481564000000001</v>
      </c>
      <c r="J24" s="131">
        <v>1.01474</v>
      </c>
      <c r="K24" s="131">
        <v>10.432376</v>
      </c>
      <c r="L24" s="131">
        <v>7.7148190000000003</v>
      </c>
      <c r="M24" s="130">
        <v>16400.491999999998</v>
      </c>
      <c r="N24" s="130">
        <v>1595.249</v>
      </c>
      <c r="O24" s="130">
        <v>2157.1779999999999</v>
      </c>
    </row>
    <row r="25" spans="2:15" ht="15" customHeight="1" x14ac:dyDescent="0.2">
      <c r="B25" s="125" t="s">
        <v>393</v>
      </c>
      <c r="C25" s="125" t="s">
        <v>394</v>
      </c>
      <c r="D25" s="125" t="s">
        <v>395</v>
      </c>
      <c r="E25" s="125" t="s">
        <v>410</v>
      </c>
      <c r="F25" s="128">
        <v>153038.993158</v>
      </c>
      <c r="G25" s="129">
        <v>17.414042999999999</v>
      </c>
      <c r="H25" s="129">
        <v>17.333473000000001</v>
      </c>
      <c r="I25" s="129">
        <v>15.813108</v>
      </c>
      <c r="J25" s="129">
        <v>1.828991</v>
      </c>
      <c r="K25" s="129">
        <v>15.134394</v>
      </c>
      <c r="L25" s="129">
        <v>12.664597000000001</v>
      </c>
      <c r="M25" s="128">
        <v>83674</v>
      </c>
      <c r="N25" s="128">
        <v>10112</v>
      </c>
      <c r="O25" s="128">
        <v>12084</v>
      </c>
    </row>
    <row r="26" spans="2:15" ht="15" customHeight="1" x14ac:dyDescent="0.2">
      <c r="B26" s="2" t="s">
        <v>530</v>
      </c>
      <c r="C26" s="2" t="s">
        <v>531</v>
      </c>
      <c r="D26" s="2" t="s">
        <v>388</v>
      </c>
      <c r="E26" s="2" t="s">
        <v>408</v>
      </c>
      <c r="F26" s="130">
        <v>221.981965</v>
      </c>
      <c r="G26" s="131">
        <v>102.835539</v>
      </c>
      <c r="H26" s="2" t="s">
        <v>389</v>
      </c>
      <c r="I26" s="2" t="s">
        <v>389</v>
      </c>
      <c r="J26" s="131">
        <v>0.63958700000000002</v>
      </c>
      <c r="K26" s="131">
        <v>49.704872999999999</v>
      </c>
      <c r="L26" s="131">
        <v>9.98794</v>
      </c>
      <c r="M26" s="130">
        <v>347.07100000000003</v>
      </c>
      <c r="N26" s="130">
        <v>4.4660000000000002</v>
      </c>
      <c r="O26" s="130">
        <v>22.225000000000001</v>
      </c>
    </row>
    <row r="27" spans="2:15" ht="15" customHeight="1" x14ac:dyDescent="0.2">
      <c r="B27" s="125" t="s">
        <v>396</v>
      </c>
      <c r="C27" s="125" t="s">
        <v>397</v>
      </c>
      <c r="D27" s="125" t="s">
        <v>395</v>
      </c>
      <c r="E27" s="125" t="s">
        <v>410</v>
      </c>
      <c r="F27" s="128">
        <v>398261.17611499998</v>
      </c>
      <c r="G27" s="129">
        <v>23.265640000000001</v>
      </c>
      <c r="H27" s="129">
        <v>22.971326999999999</v>
      </c>
      <c r="I27" s="129">
        <v>21.051290999999999</v>
      </c>
      <c r="J27" s="129">
        <v>2.4967160000000002</v>
      </c>
      <c r="K27" s="129">
        <v>18.501401999999999</v>
      </c>
      <c r="L27" s="129">
        <v>15.782721</v>
      </c>
      <c r="M27" s="128">
        <v>159514</v>
      </c>
      <c r="N27" s="128">
        <v>21526</v>
      </c>
      <c r="O27" s="128">
        <v>25234</v>
      </c>
    </row>
    <row r="28" spans="2:15" ht="15" customHeight="1" x14ac:dyDescent="0.2">
      <c r="B28" s="2" t="s">
        <v>390</v>
      </c>
      <c r="C28" s="2" t="s">
        <v>391</v>
      </c>
      <c r="D28" s="2" t="s">
        <v>392</v>
      </c>
      <c r="E28" s="2" t="s">
        <v>409</v>
      </c>
      <c r="F28" s="130">
        <v>176.381596</v>
      </c>
      <c r="G28" s="2" t="s">
        <v>389</v>
      </c>
      <c r="H28" s="2" t="s">
        <v>389</v>
      </c>
      <c r="I28" s="2" t="s">
        <v>389</v>
      </c>
      <c r="J28" s="131">
        <v>0.37788899999999997</v>
      </c>
      <c r="K28" s="131">
        <v>108.010775</v>
      </c>
      <c r="L28" s="131">
        <v>6.8778160000000002</v>
      </c>
      <c r="M28" s="130">
        <v>466.755</v>
      </c>
      <c r="N28" s="130">
        <v>1.633</v>
      </c>
      <c r="O28" s="130">
        <v>25.645</v>
      </c>
    </row>
    <row r="29" spans="2:15" ht="15" customHeight="1" x14ac:dyDescent="0.2">
      <c r="B29" s="125" t="s">
        <v>398</v>
      </c>
      <c r="C29" s="125" t="s">
        <v>399</v>
      </c>
      <c r="D29" s="125" t="s">
        <v>388</v>
      </c>
      <c r="E29" s="125" t="s">
        <v>408</v>
      </c>
      <c r="F29" s="128">
        <v>52.656413000000001</v>
      </c>
      <c r="G29" s="125" t="s">
        <v>389</v>
      </c>
      <c r="H29" s="125" t="s">
        <v>389</v>
      </c>
      <c r="I29" s="125" t="s">
        <v>389</v>
      </c>
      <c r="J29" s="129">
        <v>0.80434600000000001</v>
      </c>
      <c r="K29" s="125" t="s">
        <v>389</v>
      </c>
      <c r="L29" s="129">
        <v>27.644644</v>
      </c>
      <c r="M29" s="128">
        <v>65.464839999999995</v>
      </c>
      <c r="N29" s="140">
        <v>-0.95701000000000003</v>
      </c>
      <c r="O29" s="128">
        <v>1.90476</v>
      </c>
    </row>
    <row r="30" spans="2:15" ht="15" customHeight="1" x14ac:dyDescent="0.2">
      <c r="B30" s="2" t="s">
        <v>400</v>
      </c>
      <c r="C30" s="2"/>
      <c r="D30" s="2"/>
      <c r="E30" s="2"/>
      <c r="F30" s="2"/>
      <c r="G30" s="131">
        <v>38.274014999999999</v>
      </c>
      <c r="H30" s="131">
        <v>21.633291</v>
      </c>
      <c r="I30" s="131">
        <v>18.419788</v>
      </c>
      <c r="J30" s="131">
        <v>1.2578769999999999</v>
      </c>
      <c r="K30" s="131">
        <v>37.700690999999999</v>
      </c>
      <c r="L30" s="131">
        <v>13.500146000000001</v>
      </c>
      <c r="M30" s="2"/>
      <c r="N30" s="2"/>
      <c r="O30" s="2"/>
    </row>
    <row r="31" spans="2:15" ht="15" customHeight="1" x14ac:dyDescent="0.2">
      <c r="B31" s="125" t="s">
        <v>401</v>
      </c>
      <c r="C31" s="125"/>
      <c r="D31" s="125"/>
      <c r="E31" s="125"/>
      <c r="F31" s="125"/>
      <c r="G31" s="129">
        <v>23.265640000000001</v>
      </c>
      <c r="H31" s="129">
        <v>20.1524</v>
      </c>
      <c r="I31" s="129">
        <v>18.432199000000001</v>
      </c>
      <c r="J31" s="129">
        <v>1.01474</v>
      </c>
      <c r="K31" s="129">
        <v>21.460861999999999</v>
      </c>
      <c r="L31" s="129">
        <v>12.664597000000001</v>
      </c>
      <c r="M31" s="125"/>
      <c r="N31" s="125"/>
      <c r="O31" s="125"/>
    </row>
    <row r="32" spans="2:15" ht="15" customHeight="1" x14ac:dyDescent="0.2">
      <c r="B32" s="112" t="s">
        <v>411</v>
      </c>
    </row>
    <row r="33" spans="2:14" ht="15" customHeight="1" x14ac:dyDescent="0.2">
      <c r="B33" s="114"/>
      <c r="C33" s="114"/>
      <c r="D33" s="114"/>
      <c r="E33" s="114" t="s">
        <v>367</v>
      </c>
      <c r="F33" s="114"/>
      <c r="G33" s="114"/>
      <c r="H33" s="114"/>
      <c r="I33" s="114" t="s">
        <v>368</v>
      </c>
      <c r="J33" s="114"/>
      <c r="K33" s="114"/>
      <c r="L33" s="114"/>
    </row>
    <row r="34" spans="2:14" ht="15" customHeight="1" x14ac:dyDescent="0.2">
      <c r="B34" s="114" t="s">
        <v>370</v>
      </c>
      <c r="C34" s="114"/>
      <c r="D34" s="114" t="s">
        <v>371</v>
      </c>
      <c r="E34" s="114"/>
      <c r="F34" s="114" t="s">
        <v>372</v>
      </c>
      <c r="G34" s="114"/>
      <c r="H34" s="114"/>
      <c r="I34" s="114" t="s">
        <v>412</v>
      </c>
      <c r="J34" s="114"/>
      <c r="K34" s="114" t="s">
        <v>413</v>
      </c>
      <c r="L34" s="114" t="s">
        <v>414</v>
      </c>
    </row>
    <row r="35" spans="2:14" ht="15" customHeight="1" x14ac:dyDescent="0.2">
      <c r="B35" s="114" t="s">
        <v>374</v>
      </c>
      <c r="C35" s="114" t="s">
        <v>375</v>
      </c>
      <c r="D35" s="114" t="s">
        <v>376</v>
      </c>
      <c r="E35" s="114" t="s">
        <v>377</v>
      </c>
      <c r="F35" s="114" t="s">
        <v>380</v>
      </c>
      <c r="G35" s="114" t="s">
        <v>378</v>
      </c>
      <c r="H35" s="114" t="s">
        <v>379</v>
      </c>
      <c r="I35" s="114" t="s">
        <v>415</v>
      </c>
      <c r="J35" s="114" t="s">
        <v>416</v>
      </c>
      <c r="K35" s="114" t="s">
        <v>417</v>
      </c>
      <c r="L35" s="114" t="s">
        <v>418</v>
      </c>
    </row>
    <row r="36" spans="2:14" ht="15" customHeight="1" x14ac:dyDescent="0.2">
      <c r="B36" s="125" t="s">
        <v>386</v>
      </c>
      <c r="C36" s="125" t="s">
        <v>387</v>
      </c>
      <c r="D36" s="125" t="s">
        <v>388</v>
      </c>
      <c r="E36" s="118">
        <v>67.019997000000004</v>
      </c>
      <c r="F36" s="128">
        <v>107.60556</v>
      </c>
      <c r="G36" s="128">
        <v>7311.2994129999997</v>
      </c>
      <c r="H36" s="128">
        <v>7320.260413</v>
      </c>
      <c r="I36" s="128">
        <v>187.66900000000001</v>
      </c>
      <c r="J36" s="128">
        <v>1686.558</v>
      </c>
      <c r="K36" s="128">
        <v>0</v>
      </c>
      <c r="L36" s="128">
        <v>0</v>
      </c>
    </row>
    <row r="37" spans="2:14" ht="15" customHeight="1" x14ac:dyDescent="0.2">
      <c r="B37" s="2" t="s">
        <v>528</v>
      </c>
      <c r="C37" s="2" t="s">
        <v>529</v>
      </c>
      <c r="D37" s="2" t="s">
        <v>388</v>
      </c>
      <c r="E37" s="116">
        <v>114.08000199999999</v>
      </c>
      <c r="F37" s="130">
        <v>113.742813</v>
      </c>
      <c r="G37" s="130">
        <v>13091.748605000001</v>
      </c>
      <c r="H37" s="130">
        <v>16642.237604999998</v>
      </c>
      <c r="I37" s="130">
        <v>153.624</v>
      </c>
      <c r="J37" s="130">
        <v>4332.8249999999998</v>
      </c>
      <c r="K37" s="130">
        <v>0</v>
      </c>
      <c r="L37" s="130">
        <v>0</v>
      </c>
    </row>
    <row r="38" spans="2:14" ht="15" customHeight="1" x14ac:dyDescent="0.2">
      <c r="B38" s="125" t="s">
        <v>393</v>
      </c>
      <c r="C38" s="125" t="s">
        <v>394</v>
      </c>
      <c r="D38" s="125" t="s">
        <v>395</v>
      </c>
      <c r="E38" s="118">
        <v>212.770004</v>
      </c>
      <c r="F38" s="128">
        <v>559.70654300000001</v>
      </c>
      <c r="G38" s="128">
        <v>119684.993158</v>
      </c>
      <c r="H38" s="128">
        <v>153038.993158</v>
      </c>
      <c r="I38" s="128">
        <v>2133</v>
      </c>
      <c r="J38" s="128">
        <v>39678</v>
      </c>
      <c r="K38" s="128">
        <v>0</v>
      </c>
      <c r="L38" s="128">
        <v>0</v>
      </c>
    </row>
    <row r="39" spans="2:14" ht="15" customHeight="1" x14ac:dyDescent="0.2">
      <c r="B39" s="2" t="s">
        <v>530</v>
      </c>
      <c r="C39" s="2" t="s">
        <v>531</v>
      </c>
      <c r="D39" s="2" t="s">
        <v>388</v>
      </c>
      <c r="E39" s="116">
        <v>5.44</v>
      </c>
      <c r="F39" s="130">
        <v>44.657898000000003</v>
      </c>
      <c r="G39" s="130">
        <v>242.938965</v>
      </c>
      <c r="H39" s="130">
        <v>221.981965</v>
      </c>
      <c r="I39" s="130">
        <v>20.957000000000001</v>
      </c>
      <c r="J39" s="130">
        <v>142.58000000000001</v>
      </c>
      <c r="K39" s="130">
        <v>0</v>
      </c>
      <c r="L39" s="130">
        <v>0</v>
      </c>
    </row>
    <row r="40" spans="2:14" ht="15" customHeight="1" x14ac:dyDescent="0.2">
      <c r="B40" s="125" t="s">
        <v>396</v>
      </c>
      <c r="C40" s="125" t="s">
        <v>397</v>
      </c>
      <c r="D40" s="125" t="s">
        <v>395</v>
      </c>
      <c r="E40" s="118">
        <v>346.89999399999999</v>
      </c>
      <c r="F40" s="128">
        <v>993.92816200000004</v>
      </c>
      <c r="G40" s="128">
        <v>346537.17611499998</v>
      </c>
      <c r="H40" s="128">
        <v>398261.17611499998</v>
      </c>
      <c r="I40" s="128">
        <v>1659</v>
      </c>
      <c r="J40" s="128">
        <v>62290</v>
      </c>
      <c r="K40" s="128">
        <v>0</v>
      </c>
      <c r="L40" s="128">
        <v>0</v>
      </c>
    </row>
    <row r="41" spans="2:14" ht="15" customHeight="1" x14ac:dyDescent="0.2">
      <c r="B41" s="2" t="s">
        <v>390</v>
      </c>
      <c r="C41" s="2" t="s">
        <v>391</v>
      </c>
      <c r="D41" s="2" t="s">
        <v>392</v>
      </c>
      <c r="E41" s="116">
        <v>10.9</v>
      </c>
      <c r="F41" s="130">
        <v>3.1064310000000002</v>
      </c>
      <c r="G41" s="130">
        <v>34.180244000000002</v>
      </c>
      <c r="H41" s="130">
        <v>176.381596</v>
      </c>
      <c r="I41" s="130">
        <v>7.407</v>
      </c>
      <c r="J41" s="130">
        <v>252.04599999999999</v>
      </c>
      <c r="K41" s="130">
        <v>0</v>
      </c>
      <c r="L41" s="130">
        <v>0</v>
      </c>
    </row>
    <row r="42" spans="2:14" ht="15" customHeight="1" x14ac:dyDescent="0.2">
      <c r="B42" s="125" t="s">
        <v>398</v>
      </c>
      <c r="C42" s="125" t="s">
        <v>399</v>
      </c>
      <c r="D42" s="125" t="s">
        <v>388</v>
      </c>
      <c r="E42" s="118">
        <v>0.81140000000000001</v>
      </c>
      <c r="F42" s="128">
        <v>42.032707000000002</v>
      </c>
      <c r="G42" s="128">
        <v>44.359208000000002</v>
      </c>
      <c r="H42" s="128">
        <v>52.656413000000001</v>
      </c>
      <c r="I42" s="128">
        <v>2.7929059999999999</v>
      </c>
      <c r="J42" s="128">
        <v>13.939654000000001</v>
      </c>
      <c r="K42" s="128">
        <v>0</v>
      </c>
      <c r="L42" s="128">
        <v>0</v>
      </c>
    </row>
    <row r="43" spans="2:14" ht="15" customHeight="1" x14ac:dyDescent="0.2">
      <c r="B43" s="112" t="s">
        <v>419</v>
      </c>
    </row>
    <row r="44" spans="2:14" ht="15" customHeight="1" x14ac:dyDescent="0.2">
      <c r="B44" s="114"/>
      <c r="C44" s="114"/>
      <c r="D44" s="114"/>
      <c r="E44" s="114" t="s">
        <v>420</v>
      </c>
      <c r="F44" s="114"/>
      <c r="G44" s="114" t="s">
        <v>421</v>
      </c>
      <c r="H44" s="114"/>
      <c r="I44" s="114" t="s">
        <v>422</v>
      </c>
      <c r="J44" s="114"/>
      <c r="K44" s="114" t="s">
        <v>423</v>
      </c>
      <c r="L44" s="114"/>
      <c r="M44" s="114" t="s">
        <v>424</v>
      </c>
      <c r="N44" s="114"/>
    </row>
    <row r="45" spans="2:14" ht="15" customHeight="1" x14ac:dyDescent="0.2">
      <c r="B45" s="114" t="s">
        <v>370</v>
      </c>
      <c r="C45" s="114"/>
      <c r="D45" s="114" t="s">
        <v>371</v>
      </c>
      <c r="E45" s="114"/>
      <c r="F45" s="114"/>
      <c r="G45" s="114"/>
      <c r="H45" s="114"/>
      <c r="I45" s="114"/>
      <c r="J45" s="114"/>
      <c r="K45" s="114"/>
      <c r="L45" s="114"/>
      <c r="M45" s="114"/>
      <c r="N45" s="114"/>
    </row>
    <row r="46" spans="2:14" ht="15" customHeight="1" x14ac:dyDescent="0.2">
      <c r="B46" s="114" t="s">
        <v>374</v>
      </c>
      <c r="C46" s="114" t="s">
        <v>375</v>
      </c>
      <c r="D46" s="114" t="s">
        <v>376</v>
      </c>
      <c r="E46" s="114" t="s">
        <v>406</v>
      </c>
      <c r="F46" s="114" t="s">
        <v>425</v>
      </c>
      <c r="G46" s="114" t="s">
        <v>406</v>
      </c>
      <c r="H46" s="114" t="s">
        <v>425</v>
      </c>
      <c r="I46" s="114" t="s">
        <v>406</v>
      </c>
      <c r="J46" s="114" t="s">
        <v>425</v>
      </c>
      <c r="K46" s="114" t="s">
        <v>406</v>
      </c>
      <c r="L46" s="114" t="s">
        <v>425</v>
      </c>
      <c r="M46" s="114" t="s">
        <v>406</v>
      </c>
      <c r="N46" s="114" t="s">
        <v>425</v>
      </c>
    </row>
    <row r="47" spans="2:14" ht="15" customHeight="1" x14ac:dyDescent="0.2">
      <c r="B47" s="125" t="s">
        <v>386</v>
      </c>
      <c r="C47" s="125" t="s">
        <v>387</v>
      </c>
      <c r="D47" s="125" t="s">
        <v>388</v>
      </c>
      <c r="E47" s="132">
        <v>38.122501999999997</v>
      </c>
      <c r="F47" s="132">
        <v>43.534916000000003</v>
      </c>
      <c r="G47" s="132">
        <v>11.880348</v>
      </c>
      <c r="H47" s="132">
        <v>11.428429</v>
      </c>
      <c r="I47" s="132">
        <v>6.7274789999999998</v>
      </c>
      <c r="J47" s="132">
        <v>6.0333069999999998</v>
      </c>
      <c r="K47" s="132">
        <v>5.6870750000000001</v>
      </c>
      <c r="L47" s="132">
        <v>5.9718460000000002</v>
      </c>
      <c r="M47" s="132">
        <v>4.6203459999999996</v>
      </c>
      <c r="N47" s="132">
        <v>4.671106</v>
      </c>
    </row>
    <row r="48" spans="2:14" ht="15" customHeight="1" x14ac:dyDescent="0.2">
      <c r="B48" s="2" t="s">
        <v>528</v>
      </c>
      <c r="C48" s="2" t="s">
        <v>529</v>
      </c>
      <c r="D48" s="2" t="s">
        <v>388</v>
      </c>
      <c r="E48" s="133">
        <v>31.738164000000001</v>
      </c>
      <c r="F48" s="133">
        <v>31.268927000000001</v>
      </c>
      <c r="G48" s="133">
        <v>13.153130000000001</v>
      </c>
      <c r="H48" s="133">
        <v>12.526642000000001</v>
      </c>
      <c r="I48" s="133">
        <v>9.7268360000000005</v>
      </c>
      <c r="J48" s="133">
        <v>9.0630819999999996</v>
      </c>
      <c r="K48" s="133">
        <v>8.4602640000000005</v>
      </c>
      <c r="L48" s="133">
        <v>7.705965</v>
      </c>
      <c r="M48" s="133">
        <v>6.5723520000000004</v>
      </c>
      <c r="N48" s="133">
        <v>5.5831540000000004</v>
      </c>
    </row>
    <row r="49" spans="2:19" ht="15" customHeight="1" x14ac:dyDescent="0.2">
      <c r="B49" s="125" t="s">
        <v>393</v>
      </c>
      <c r="C49" s="125" t="s">
        <v>394</v>
      </c>
      <c r="D49" s="125" t="s">
        <v>395</v>
      </c>
      <c r="E49" s="132">
        <v>31.249851</v>
      </c>
      <c r="F49" s="132">
        <v>33.341208999999999</v>
      </c>
      <c r="G49" s="132">
        <v>14.441762000000001</v>
      </c>
      <c r="H49" s="132">
        <v>14.632868999999999</v>
      </c>
      <c r="I49" s="132">
        <v>12.084997</v>
      </c>
      <c r="J49" s="132">
        <v>12.420441</v>
      </c>
      <c r="K49" s="132">
        <v>10.938882</v>
      </c>
      <c r="L49" s="132">
        <v>10.911272</v>
      </c>
      <c r="M49" s="132">
        <v>8.2940939999999994</v>
      </c>
      <c r="N49" s="132">
        <v>8.2255540000000007</v>
      </c>
    </row>
    <row r="50" spans="2:19" ht="15" customHeight="1" x14ac:dyDescent="0.2">
      <c r="B50" s="2" t="s">
        <v>530</v>
      </c>
      <c r="C50" s="2" t="s">
        <v>531</v>
      </c>
      <c r="D50" s="2" t="s">
        <v>388</v>
      </c>
      <c r="E50" s="133">
        <v>60.539485999999997</v>
      </c>
      <c r="F50" s="2" t="s">
        <v>389</v>
      </c>
      <c r="G50" s="133">
        <v>6.4035890000000002</v>
      </c>
      <c r="H50" s="2" t="s">
        <v>389</v>
      </c>
      <c r="I50" s="133">
        <v>1.2867679999999999</v>
      </c>
      <c r="J50" s="2" t="s">
        <v>389</v>
      </c>
      <c r="K50" s="133">
        <v>0.93410300000000002</v>
      </c>
      <c r="L50" s="2" t="s">
        <v>389</v>
      </c>
      <c r="M50" s="133">
        <v>0.66873899999999997</v>
      </c>
      <c r="N50" s="2" t="s">
        <v>389</v>
      </c>
    </row>
    <row r="51" spans="2:19" ht="15" customHeight="1" x14ac:dyDescent="0.2">
      <c r="B51" s="125" t="s">
        <v>396</v>
      </c>
      <c r="C51" s="125" t="s">
        <v>397</v>
      </c>
      <c r="D51" s="125" t="s">
        <v>395</v>
      </c>
      <c r="E51" s="132">
        <v>31.516983</v>
      </c>
      <c r="F51" s="132">
        <v>33.389561</v>
      </c>
      <c r="G51" s="132">
        <v>15.819300999999999</v>
      </c>
      <c r="H51" s="132">
        <v>15.543532000000001</v>
      </c>
      <c r="I51" s="132">
        <v>13.49474</v>
      </c>
      <c r="J51" s="132">
        <v>13.465581999999999</v>
      </c>
      <c r="K51" s="132">
        <v>12.165703000000001</v>
      </c>
      <c r="L51" s="132">
        <v>12.146018</v>
      </c>
      <c r="M51" s="132">
        <v>9.2819439999999993</v>
      </c>
      <c r="N51" s="132">
        <v>9.2138609999999996</v>
      </c>
    </row>
    <row r="52" spans="2:19" ht="15" customHeight="1" x14ac:dyDescent="0.2">
      <c r="B52" s="2" t="s">
        <v>390</v>
      </c>
      <c r="C52" s="2" t="s">
        <v>391</v>
      </c>
      <c r="D52" s="2" t="s">
        <v>392</v>
      </c>
      <c r="E52" s="133">
        <v>30.821095</v>
      </c>
      <c r="F52" s="2" t="s">
        <v>389</v>
      </c>
      <c r="G52" s="133">
        <v>5.4943169999999997</v>
      </c>
      <c r="H52" s="2" t="s">
        <v>389</v>
      </c>
      <c r="I52" s="133">
        <v>0.34986200000000001</v>
      </c>
      <c r="J52" s="2" t="s">
        <v>389</v>
      </c>
      <c r="K52" s="134">
        <v>-6.3982169999999998</v>
      </c>
      <c r="L52" s="2" t="s">
        <v>389</v>
      </c>
      <c r="M52" s="134">
        <v>-5.4656079999999996</v>
      </c>
      <c r="N52" s="2" t="s">
        <v>389</v>
      </c>
    </row>
    <row r="53" spans="2:19" ht="15" customHeight="1" x14ac:dyDescent="0.2">
      <c r="B53" s="125" t="s">
        <v>398</v>
      </c>
      <c r="C53" s="125" t="s">
        <v>399</v>
      </c>
      <c r="D53" s="125" t="s">
        <v>388</v>
      </c>
      <c r="E53" s="132">
        <v>34.339387000000002</v>
      </c>
      <c r="F53" s="125" t="s">
        <v>389</v>
      </c>
      <c r="G53" s="132">
        <v>2.909592</v>
      </c>
      <c r="H53" s="125" t="s">
        <v>389</v>
      </c>
      <c r="I53" s="135">
        <v>-1.4618720000000001</v>
      </c>
      <c r="J53" s="125" t="s">
        <v>389</v>
      </c>
      <c r="K53" s="135">
        <v>-3.0825200000000001</v>
      </c>
      <c r="L53" s="125" t="s">
        <v>389</v>
      </c>
      <c r="M53" s="135">
        <v>-1.9056489999999999</v>
      </c>
      <c r="N53" s="125" t="s">
        <v>389</v>
      </c>
    </row>
    <row r="54" spans="2:19" ht="15" customHeight="1" x14ac:dyDescent="0.2">
      <c r="B54" s="2" t="s">
        <v>400</v>
      </c>
      <c r="C54" s="2"/>
      <c r="D54" s="2"/>
      <c r="E54" s="133">
        <v>36.903924000000004</v>
      </c>
      <c r="F54" s="133">
        <v>35.383653000000002</v>
      </c>
      <c r="G54" s="133">
        <v>10.014576999999999</v>
      </c>
      <c r="H54" s="133">
        <v>13.532868000000001</v>
      </c>
      <c r="I54" s="133">
        <v>6.0298299999999996</v>
      </c>
      <c r="J54" s="133">
        <v>10.245602999999999</v>
      </c>
      <c r="K54" s="133">
        <v>4.1007559999999996</v>
      </c>
      <c r="L54" s="133">
        <v>9.1837750000000007</v>
      </c>
      <c r="M54" s="133">
        <v>3.152317</v>
      </c>
      <c r="N54" s="133">
        <v>6.923419</v>
      </c>
    </row>
    <row r="55" spans="2:19" ht="15" customHeight="1" x14ac:dyDescent="0.2">
      <c r="B55" s="125" t="s">
        <v>401</v>
      </c>
      <c r="C55" s="125"/>
      <c r="D55" s="125"/>
      <c r="E55" s="132">
        <v>31.738164000000001</v>
      </c>
      <c r="F55" s="132">
        <v>33.365385000000003</v>
      </c>
      <c r="G55" s="132">
        <v>11.880348</v>
      </c>
      <c r="H55" s="132">
        <v>13.579756</v>
      </c>
      <c r="I55" s="132">
        <v>6.7274789999999998</v>
      </c>
      <c r="J55" s="132">
        <v>10.741761</v>
      </c>
      <c r="K55" s="132">
        <v>5.6870750000000001</v>
      </c>
      <c r="L55" s="132">
        <v>9.3086179999999992</v>
      </c>
      <c r="M55" s="132">
        <v>4.6203459999999996</v>
      </c>
      <c r="N55" s="132">
        <v>6.9043539999999997</v>
      </c>
    </row>
    <row r="56" spans="2:19" ht="15" customHeight="1" x14ac:dyDescent="0.2">
      <c r="B56" s="112" t="s">
        <v>426</v>
      </c>
    </row>
    <row r="57" spans="2:19" ht="15" customHeight="1" x14ac:dyDescent="0.2">
      <c r="B57" s="114"/>
      <c r="C57" s="114"/>
      <c r="D57" s="114"/>
      <c r="E57" s="114"/>
      <c r="F57" s="114" t="s">
        <v>427</v>
      </c>
      <c r="G57" s="114"/>
      <c r="H57" s="114"/>
      <c r="I57" s="114" t="s">
        <v>428</v>
      </c>
      <c r="J57" s="114"/>
      <c r="K57" s="114"/>
      <c r="L57" s="114"/>
      <c r="M57" s="114" t="s">
        <v>429</v>
      </c>
      <c r="N57" s="114"/>
      <c r="O57" s="114"/>
      <c r="P57" s="114"/>
      <c r="Q57" s="114"/>
      <c r="R57" s="114"/>
      <c r="S57" s="114"/>
    </row>
    <row r="58" spans="2:19" ht="15" customHeight="1" x14ac:dyDescent="0.2">
      <c r="B58" s="114" t="s">
        <v>370</v>
      </c>
      <c r="C58" s="114"/>
      <c r="D58" s="114" t="s">
        <v>371</v>
      </c>
      <c r="E58" s="114"/>
      <c r="F58" s="114"/>
      <c r="G58" s="114"/>
      <c r="H58" s="114"/>
      <c r="I58" s="114"/>
      <c r="J58" s="114"/>
      <c r="K58" s="114"/>
      <c r="L58" s="114" t="s">
        <v>430</v>
      </c>
      <c r="M58" s="114"/>
      <c r="N58" s="114"/>
      <c r="O58" s="114"/>
      <c r="P58" s="114"/>
      <c r="Q58" s="114"/>
      <c r="R58" s="114"/>
      <c r="S58" s="114"/>
    </row>
    <row r="59" spans="2:19" ht="15" customHeight="1" x14ac:dyDescent="0.2">
      <c r="B59" s="114" t="s">
        <v>374</v>
      </c>
      <c r="C59" s="114" t="s">
        <v>375</v>
      </c>
      <c r="D59" s="114" t="s">
        <v>376</v>
      </c>
      <c r="E59" s="114" t="s">
        <v>431</v>
      </c>
      <c r="F59" s="114" t="s">
        <v>431</v>
      </c>
      <c r="G59" s="114" t="s">
        <v>405</v>
      </c>
      <c r="H59" s="114" t="s">
        <v>432</v>
      </c>
      <c r="I59" s="114" t="s">
        <v>431</v>
      </c>
      <c r="J59" s="114" t="s">
        <v>405</v>
      </c>
      <c r="K59" s="114" t="s">
        <v>433</v>
      </c>
      <c r="L59" s="114" t="s">
        <v>434</v>
      </c>
      <c r="M59" s="114" t="s">
        <v>435</v>
      </c>
      <c r="N59" s="114" t="s">
        <v>436</v>
      </c>
      <c r="O59" s="114" t="s">
        <v>437</v>
      </c>
      <c r="P59" s="114" t="s">
        <v>438</v>
      </c>
      <c r="Q59" s="114" t="s">
        <v>439</v>
      </c>
      <c r="R59" s="114" t="s">
        <v>440</v>
      </c>
      <c r="S59" s="114" t="s">
        <v>441</v>
      </c>
    </row>
    <row r="60" spans="2:19" ht="15" customHeight="1" x14ac:dyDescent="0.2">
      <c r="B60" s="125" t="s">
        <v>386</v>
      </c>
      <c r="C60" s="125" t="s">
        <v>387</v>
      </c>
      <c r="D60" s="125" t="s">
        <v>388</v>
      </c>
      <c r="E60" s="118">
        <v>67.019997000000004</v>
      </c>
      <c r="F60" s="118">
        <v>126.739998</v>
      </c>
      <c r="G60" s="125" t="s">
        <v>442</v>
      </c>
      <c r="H60" s="136">
        <v>-47.120086999999998</v>
      </c>
      <c r="I60" s="118">
        <v>66.010002</v>
      </c>
      <c r="J60" s="125" t="s">
        <v>443</v>
      </c>
      <c r="K60" s="137">
        <v>1.530063</v>
      </c>
      <c r="L60" s="118">
        <v>1.1326480000000001</v>
      </c>
      <c r="M60" s="136">
        <v>-4.6792800000000003</v>
      </c>
      <c r="N60" s="136">
        <v>-20.384895</v>
      </c>
      <c r="O60" s="136">
        <v>-34.576343999999999</v>
      </c>
      <c r="P60" s="136">
        <v>-36.946095</v>
      </c>
      <c r="Q60" s="136">
        <v>-38.001854000000002</v>
      </c>
      <c r="R60" s="136">
        <v>-20.601832999999999</v>
      </c>
      <c r="S60" s="137">
        <v>96.597228999999999</v>
      </c>
    </row>
    <row r="61" spans="2:19" ht="15" customHeight="1" x14ac:dyDescent="0.2">
      <c r="B61" s="2" t="s">
        <v>528</v>
      </c>
      <c r="C61" s="2" t="s">
        <v>529</v>
      </c>
      <c r="D61" s="2" t="s">
        <v>388</v>
      </c>
      <c r="E61" s="116">
        <v>114.08000199999999</v>
      </c>
      <c r="F61" s="116">
        <v>203.13999899999999</v>
      </c>
      <c r="G61" s="2" t="s">
        <v>532</v>
      </c>
      <c r="H61" s="138">
        <v>-43.841681999999999</v>
      </c>
      <c r="I61" s="116">
        <v>110.843903</v>
      </c>
      <c r="J61" s="2" t="s">
        <v>446</v>
      </c>
      <c r="K61" s="139">
        <v>2.9195069999999999</v>
      </c>
      <c r="L61" s="116">
        <v>0.90242699999999998</v>
      </c>
      <c r="M61" s="138">
        <v>-2.4456980000000001</v>
      </c>
      <c r="N61" s="138">
        <v>-9.7896579999999993</v>
      </c>
      <c r="O61" s="138">
        <v>-31.351542999999999</v>
      </c>
      <c r="P61" s="138">
        <v>-38.281756999999999</v>
      </c>
      <c r="Q61" s="138">
        <v>-35.558945000000001</v>
      </c>
      <c r="R61" s="139">
        <v>82.849823000000001</v>
      </c>
      <c r="S61" s="139">
        <v>746.29089399999998</v>
      </c>
    </row>
    <row r="62" spans="2:19" ht="15" customHeight="1" x14ac:dyDescent="0.2">
      <c r="B62" s="125" t="s">
        <v>393</v>
      </c>
      <c r="C62" s="125" t="s">
        <v>394</v>
      </c>
      <c r="D62" s="125" t="s">
        <v>395</v>
      </c>
      <c r="E62" s="118">
        <v>212.770004</v>
      </c>
      <c r="F62" s="118">
        <v>287.01001000000002</v>
      </c>
      <c r="G62" s="125" t="s">
        <v>445</v>
      </c>
      <c r="H62" s="136">
        <v>-25.866693000000001</v>
      </c>
      <c r="I62" s="118">
        <v>206.384995</v>
      </c>
      <c r="J62" s="125" t="s">
        <v>446</v>
      </c>
      <c r="K62" s="137">
        <v>3.0937429999999999</v>
      </c>
      <c r="L62" s="118">
        <v>0.52329400000000004</v>
      </c>
      <c r="M62" s="136">
        <v>-2.8447450000000001</v>
      </c>
      <c r="N62" s="136">
        <v>-6.2976179999999999</v>
      </c>
      <c r="O62" s="136">
        <v>-19.512008999999999</v>
      </c>
      <c r="P62" s="136">
        <v>-23.143328</v>
      </c>
      <c r="Q62" s="136">
        <v>-7.5877369999999997</v>
      </c>
      <c r="R62" s="137">
        <v>3.7750599999999999</v>
      </c>
      <c r="S62" s="137">
        <v>129.723602</v>
      </c>
    </row>
    <row r="63" spans="2:19" ht="15" customHeight="1" x14ac:dyDescent="0.2">
      <c r="B63" s="2" t="s">
        <v>530</v>
      </c>
      <c r="C63" s="2" t="s">
        <v>531</v>
      </c>
      <c r="D63" s="2" t="s">
        <v>388</v>
      </c>
      <c r="E63" s="116">
        <v>5.44</v>
      </c>
      <c r="F63" s="116">
        <v>7.75</v>
      </c>
      <c r="G63" s="2" t="s">
        <v>533</v>
      </c>
      <c r="H63" s="138">
        <v>-29.806453999999999</v>
      </c>
      <c r="I63" s="116">
        <v>5.15</v>
      </c>
      <c r="J63" s="2" t="s">
        <v>534</v>
      </c>
      <c r="K63" s="139">
        <v>5.6310650000000004</v>
      </c>
      <c r="L63" s="116">
        <v>0.92362599999999995</v>
      </c>
      <c r="M63" s="139">
        <v>0</v>
      </c>
      <c r="N63" s="138">
        <v>-16.436254999999999</v>
      </c>
      <c r="O63" s="138">
        <v>-22.507117999999998</v>
      </c>
      <c r="P63" s="138">
        <v>-18.562871999999999</v>
      </c>
      <c r="Q63" s="138">
        <v>-14.195584999999999</v>
      </c>
      <c r="R63" s="138">
        <v>-12.680578000000001</v>
      </c>
      <c r="S63" s="139">
        <v>390.09008799999998</v>
      </c>
    </row>
    <row r="64" spans="2:19" ht="15" customHeight="1" x14ac:dyDescent="0.2">
      <c r="B64" s="125" t="s">
        <v>396</v>
      </c>
      <c r="C64" s="125" t="s">
        <v>397</v>
      </c>
      <c r="D64" s="125" t="s">
        <v>395</v>
      </c>
      <c r="E64" s="118">
        <v>346.89999399999999</v>
      </c>
      <c r="F64" s="118">
        <v>439.36999500000002</v>
      </c>
      <c r="G64" s="125" t="s">
        <v>447</v>
      </c>
      <c r="H64" s="136">
        <v>-21.046043000000001</v>
      </c>
      <c r="I64" s="118">
        <v>323.76998900000001</v>
      </c>
      <c r="J64" s="125" t="s">
        <v>448</v>
      </c>
      <c r="K64" s="137">
        <v>7.1439620000000001</v>
      </c>
      <c r="L64" s="118">
        <v>0.62263599999999997</v>
      </c>
      <c r="M64" s="136">
        <v>-2.298206</v>
      </c>
      <c r="N64" s="136">
        <v>-1.2103079999999999</v>
      </c>
      <c r="O64" s="136">
        <v>-17.094856</v>
      </c>
      <c r="P64" s="136">
        <v>-14.640749</v>
      </c>
      <c r="Q64" s="137">
        <v>3.4410829999999999</v>
      </c>
      <c r="R64" s="137">
        <v>11.773432</v>
      </c>
      <c r="S64" s="137">
        <v>72.922584999999998</v>
      </c>
    </row>
    <row r="65" spans="2:19" ht="15" customHeight="1" x14ac:dyDescent="0.2">
      <c r="B65" s="2" t="s">
        <v>390</v>
      </c>
      <c r="C65" s="2" t="s">
        <v>391</v>
      </c>
      <c r="D65" s="2" t="s">
        <v>392</v>
      </c>
      <c r="E65" s="116">
        <v>10.9</v>
      </c>
      <c r="F65" s="116">
        <v>26.325001</v>
      </c>
      <c r="G65" s="2" t="s">
        <v>535</v>
      </c>
      <c r="H65" s="138">
        <v>-58.594493999999997</v>
      </c>
      <c r="I65" s="116">
        <v>6.25</v>
      </c>
      <c r="J65" s="2" t="s">
        <v>444</v>
      </c>
      <c r="K65" s="139">
        <v>74.399994000000007</v>
      </c>
      <c r="L65" s="120">
        <v>-0.32773099999999999</v>
      </c>
      <c r="M65" s="138">
        <v>-1.4466639999999999</v>
      </c>
      <c r="N65" s="139">
        <v>57.742404999999998</v>
      </c>
      <c r="O65" s="139">
        <v>9.1091040000000003</v>
      </c>
      <c r="P65" s="138">
        <v>-1.8018069999999999</v>
      </c>
      <c r="Q65" s="138">
        <v>-57.170929000000001</v>
      </c>
      <c r="R65" s="138">
        <v>-72.537163000000007</v>
      </c>
      <c r="S65" s="139">
        <v>72.958206000000004</v>
      </c>
    </row>
    <row r="66" spans="2:19" ht="15" customHeight="1" x14ac:dyDescent="0.2">
      <c r="B66" s="125" t="s">
        <v>398</v>
      </c>
      <c r="C66" s="125" t="s">
        <v>399</v>
      </c>
      <c r="D66" s="125" t="s">
        <v>388</v>
      </c>
      <c r="E66" s="118">
        <v>0.81140000000000001</v>
      </c>
      <c r="F66" s="118">
        <v>0.92</v>
      </c>
      <c r="G66" s="125" t="s">
        <v>449</v>
      </c>
      <c r="H66" s="136">
        <v>-11.804347999999999</v>
      </c>
      <c r="I66" s="118">
        <v>0.25</v>
      </c>
      <c r="J66" s="125" t="s">
        <v>450</v>
      </c>
      <c r="K66" s="137">
        <v>224.55999800000001</v>
      </c>
      <c r="L66" s="119">
        <v>-0.62941199999999997</v>
      </c>
      <c r="M66" s="137">
        <v>0</v>
      </c>
      <c r="N66" s="136">
        <v>-11.804347999999999</v>
      </c>
      <c r="O66" s="137">
        <v>139.068939</v>
      </c>
      <c r="P66" s="137">
        <v>120.96951300000001</v>
      </c>
      <c r="Q66" s="137">
        <v>80.311119000000005</v>
      </c>
      <c r="R66" s="125" t="s">
        <v>389</v>
      </c>
      <c r="S66" s="125" t="s">
        <v>389</v>
      </c>
    </row>
    <row r="67" spans="2:19" x14ac:dyDescent="0.2">
      <c r="B67" s="2" t="s">
        <v>451</v>
      </c>
      <c r="C67" s="2"/>
      <c r="D67" s="2"/>
      <c r="E67" s="2"/>
      <c r="F67" s="2"/>
      <c r="G67" s="2"/>
      <c r="H67" s="138">
        <v>-11.804347999999999</v>
      </c>
      <c r="I67" s="2"/>
      <c r="J67" s="2"/>
      <c r="K67" s="139">
        <v>224.55999800000001</v>
      </c>
      <c r="L67" s="116">
        <v>1.1326480000000001</v>
      </c>
      <c r="M67" s="2" t="s">
        <v>389</v>
      </c>
      <c r="N67" s="139">
        <v>57.742404999999998</v>
      </c>
      <c r="O67" s="139">
        <v>139.068939</v>
      </c>
      <c r="P67" s="139">
        <v>120.96951300000001</v>
      </c>
      <c r="Q67" s="139">
        <v>80.311119000000005</v>
      </c>
      <c r="R67" s="139">
        <v>82.849823000000001</v>
      </c>
      <c r="S67" s="139">
        <v>746.29089399999998</v>
      </c>
    </row>
    <row r="68" spans="2:19" x14ac:dyDescent="0.2">
      <c r="B68" s="125" t="s">
        <v>452</v>
      </c>
      <c r="C68" s="125"/>
      <c r="D68" s="125"/>
      <c r="E68" s="125"/>
      <c r="F68" s="125"/>
      <c r="G68" s="125"/>
      <c r="H68" s="136">
        <v>-58.594493999999997</v>
      </c>
      <c r="I68" s="125"/>
      <c r="J68" s="125"/>
      <c r="K68" s="137">
        <v>1.530063</v>
      </c>
      <c r="L68" s="119">
        <v>-0.62941199999999997</v>
      </c>
      <c r="M68" s="136">
        <v>-4.6792800000000003</v>
      </c>
      <c r="N68" s="136">
        <v>-20.384895</v>
      </c>
      <c r="O68" s="136">
        <v>-34.576343999999999</v>
      </c>
      <c r="P68" s="136">
        <v>-38.281756999999999</v>
      </c>
      <c r="Q68" s="136">
        <v>-57.170929000000001</v>
      </c>
      <c r="R68" s="136">
        <v>-72.537163000000007</v>
      </c>
      <c r="S68" s="137">
        <v>72.922584999999998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41A37D-3381-8A4A-97D8-16B32CEF100E}">
  <dimension ref="B1:J40"/>
  <sheetViews>
    <sheetView showGridLines="0" zoomScale="140" zoomScaleNormal="140" workbookViewId="0"/>
  </sheetViews>
  <sheetFormatPr baseColWidth="10" defaultRowHeight="15" x14ac:dyDescent="0.2"/>
  <cols>
    <col min="1" max="1" width="1.83203125" customWidth="1"/>
    <col min="2" max="2" width="22.33203125" customWidth="1"/>
    <col min="3" max="3" width="20.1640625" customWidth="1"/>
    <col min="4" max="4" width="11.83203125" customWidth="1"/>
    <col min="5" max="5" width="10.33203125" customWidth="1"/>
    <col min="6" max="6" width="20" customWidth="1"/>
    <col min="7" max="7" width="14.1640625" customWidth="1"/>
    <col min="8" max="8" width="10.1640625" customWidth="1"/>
    <col min="9" max="9" width="22.33203125" customWidth="1"/>
    <col min="10" max="10" width="26.5" customWidth="1"/>
  </cols>
  <sheetData>
    <row r="1" spans="2:10" x14ac:dyDescent="0.2">
      <c r="B1" s="112" t="s">
        <v>387</v>
      </c>
    </row>
    <row r="2" spans="2:10" x14ac:dyDescent="0.2">
      <c r="B2" t="s">
        <v>456</v>
      </c>
    </row>
    <row r="3" spans="2:10" x14ac:dyDescent="0.2">
      <c r="B3" s="114" t="s">
        <v>457</v>
      </c>
      <c r="C3" s="114" t="s">
        <v>458</v>
      </c>
      <c r="D3" s="114" t="s">
        <v>459</v>
      </c>
      <c r="E3" s="114" t="s">
        <v>460</v>
      </c>
      <c r="F3" s="114" t="s">
        <v>461</v>
      </c>
      <c r="G3" s="114" t="s">
        <v>462</v>
      </c>
      <c r="H3" s="114" t="s">
        <v>463</v>
      </c>
      <c r="I3" s="114" t="s">
        <v>464</v>
      </c>
      <c r="J3" s="114" t="s">
        <v>465</v>
      </c>
    </row>
    <row r="4" spans="2:10" x14ac:dyDescent="0.2">
      <c r="B4" s="125" t="s">
        <v>466</v>
      </c>
      <c r="C4" s="125"/>
      <c r="D4" s="125" t="s">
        <v>538</v>
      </c>
      <c r="E4" s="125" t="s">
        <v>468</v>
      </c>
      <c r="F4" s="118">
        <v>71.34</v>
      </c>
      <c r="G4" s="125" t="s">
        <v>538</v>
      </c>
      <c r="H4" s="118">
        <v>103.417</v>
      </c>
      <c r="I4" s="118">
        <v>71.34</v>
      </c>
      <c r="J4" s="128">
        <v>44.963099999999997</v>
      </c>
    </row>
    <row r="5" spans="2:10" x14ac:dyDescent="0.2">
      <c r="B5" s="2" t="s">
        <v>473</v>
      </c>
      <c r="C5" s="2" t="s">
        <v>474</v>
      </c>
      <c r="D5" s="2" t="s">
        <v>539</v>
      </c>
      <c r="E5" s="2" t="s">
        <v>472</v>
      </c>
      <c r="F5" s="116">
        <v>68.3</v>
      </c>
      <c r="G5" s="2" t="s">
        <v>467</v>
      </c>
      <c r="H5" s="116">
        <v>75</v>
      </c>
      <c r="I5" s="116">
        <v>67.02</v>
      </c>
      <c r="J5" s="130">
        <v>5.1303700000000001</v>
      </c>
    </row>
    <row r="6" spans="2:10" x14ac:dyDescent="0.2">
      <c r="B6" s="125" t="s">
        <v>469</v>
      </c>
      <c r="C6" s="125" t="s">
        <v>470</v>
      </c>
      <c r="D6" s="125" t="s">
        <v>471</v>
      </c>
      <c r="E6" s="125" t="s">
        <v>472</v>
      </c>
      <c r="F6" s="118">
        <v>70.31</v>
      </c>
      <c r="G6" s="125" t="s">
        <v>471</v>
      </c>
      <c r="H6" s="118">
        <v>100</v>
      </c>
      <c r="I6" s="118">
        <v>70.31</v>
      </c>
      <c r="J6" s="128">
        <v>40.1738</v>
      </c>
    </row>
    <row r="7" spans="2:10" x14ac:dyDescent="0.2">
      <c r="B7" s="2" t="s">
        <v>475</v>
      </c>
      <c r="C7" s="2" t="s">
        <v>476</v>
      </c>
      <c r="D7" s="2" t="s">
        <v>477</v>
      </c>
      <c r="E7" s="2" t="s">
        <v>472</v>
      </c>
      <c r="F7" s="116">
        <v>75.040000000000006</v>
      </c>
      <c r="G7" s="2" t="s">
        <v>477</v>
      </c>
      <c r="H7" s="116">
        <v>110</v>
      </c>
      <c r="I7" s="116">
        <v>75.040000000000006</v>
      </c>
      <c r="J7" s="130">
        <v>54.191200000000002</v>
      </c>
    </row>
    <row r="8" spans="2:10" x14ac:dyDescent="0.2">
      <c r="B8" s="125" t="s">
        <v>478</v>
      </c>
      <c r="C8" s="125" t="s">
        <v>478</v>
      </c>
      <c r="D8" s="125" t="s">
        <v>479</v>
      </c>
      <c r="E8" s="125" t="s">
        <v>480</v>
      </c>
      <c r="F8" s="118">
        <v>71.5</v>
      </c>
      <c r="G8" s="125" t="s">
        <v>479</v>
      </c>
      <c r="H8" s="118">
        <v>66</v>
      </c>
      <c r="I8" s="118">
        <v>71.5</v>
      </c>
      <c r="J8" s="140">
        <v>-7.4852800000000004</v>
      </c>
    </row>
    <row r="9" spans="2:10" x14ac:dyDescent="0.2">
      <c r="B9" s="2" t="s">
        <v>478</v>
      </c>
      <c r="C9" s="2" t="s">
        <v>478</v>
      </c>
      <c r="D9" s="2" t="s">
        <v>481</v>
      </c>
      <c r="E9" s="2" t="s">
        <v>482</v>
      </c>
      <c r="F9" s="116">
        <v>82.07</v>
      </c>
      <c r="G9" s="2" t="s">
        <v>483</v>
      </c>
      <c r="H9" s="116">
        <v>125</v>
      </c>
      <c r="I9" s="116">
        <v>73.040000000000006</v>
      </c>
      <c r="J9" s="130">
        <v>75.217299999999994</v>
      </c>
    </row>
    <row r="10" spans="2:10" x14ac:dyDescent="0.2">
      <c r="B10" s="125" t="s">
        <v>484</v>
      </c>
      <c r="C10" s="125" t="s">
        <v>485</v>
      </c>
      <c r="D10" s="125" t="s">
        <v>486</v>
      </c>
      <c r="E10" s="125" t="s">
        <v>480</v>
      </c>
      <c r="F10" s="118">
        <v>79.88</v>
      </c>
      <c r="G10" s="125" t="s">
        <v>486</v>
      </c>
      <c r="H10" s="118">
        <v>80</v>
      </c>
      <c r="I10" s="118">
        <v>79.88</v>
      </c>
      <c r="J10" s="128">
        <v>12.139099999999999</v>
      </c>
    </row>
    <row r="11" spans="2:10" x14ac:dyDescent="0.2">
      <c r="B11" s="2" t="s">
        <v>487</v>
      </c>
      <c r="C11" s="2" t="s">
        <v>488</v>
      </c>
      <c r="D11" s="2" t="s">
        <v>489</v>
      </c>
      <c r="E11" s="2" t="s">
        <v>472</v>
      </c>
      <c r="F11" s="116">
        <v>84.18</v>
      </c>
      <c r="G11" s="2" t="s">
        <v>489</v>
      </c>
      <c r="H11" s="116">
        <v>90</v>
      </c>
      <c r="I11" s="116">
        <v>84.18</v>
      </c>
      <c r="J11" s="130">
        <v>26.156400000000001</v>
      </c>
    </row>
    <row r="12" spans="2:10" x14ac:dyDescent="0.2">
      <c r="B12" s="125" t="s">
        <v>490</v>
      </c>
      <c r="C12" s="125" t="s">
        <v>491</v>
      </c>
      <c r="D12" s="125" t="s">
        <v>492</v>
      </c>
      <c r="E12" s="125" t="s">
        <v>472</v>
      </c>
      <c r="F12" s="118">
        <v>88.01</v>
      </c>
      <c r="G12" s="125" t="s">
        <v>492</v>
      </c>
      <c r="H12" s="118">
        <v>111</v>
      </c>
      <c r="I12" s="118">
        <v>88.01</v>
      </c>
      <c r="J12" s="128">
        <v>55.5929</v>
      </c>
    </row>
    <row r="13" spans="2:10" x14ac:dyDescent="0.2">
      <c r="B13" s="2" t="s">
        <v>493</v>
      </c>
      <c r="C13" s="2" t="s">
        <v>494</v>
      </c>
      <c r="D13" s="2" t="s">
        <v>495</v>
      </c>
      <c r="E13" s="2" t="s">
        <v>496</v>
      </c>
      <c r="F13" s="116">
        <v>96.63</v>
      </c>
      <c r="G13" s="2" t="s">
        <v>497</v>
      </c>
      <c r="H13" s="116">
        <v>115</v>
      </c>
      <c r="I13" s="116">
        <v>94.27</v>
      </c>
      <c r="J13" s="130">
        <v>61.1999</v>
      </c>
    </row>
    <row r="14" spans="2:10" x14ac:dyDescent="0.2">
      <c r="B14" s="125" t="s">
        <v>498</v>
      </c>
      <c r="C14" s="125" t="s">
        <v>499</v>
      </c>
      <c r="D14" s="125" t="s">
        <v>495</v>
      </c>
      <c r="E14" s="125" t="s">
        <v>472</v>
      </c>
      <c r="F14" s="118">
        <v>96.63</v>
      </c>
      <c r="G14" s="125" t="s">
        <v>495</v>
      </c>
      <c r="H14" s="118">
        <v>100.34</v>
      </c>
      <c r="I14" s="118">
        <v>96.63</v>
      </c>
      <c r="J14" s="128">
        <v>40.650399999999998</v>
      </c>
    </row>
    <row r="15" spans="2:10" x14ac:dyDescent="0.2">
      <c r="B15" s="2" t="s">
        <v>500</v>
      </c>
      <c r="C15" s="2" t="s">
        <v>501</v>
      </c>
      <c r="D15" s="2" t="s">
        <v>502</v>
      </c>
      <c r="E15" s="2" t="s">
        <v>496</v>
      </c>
      <c r="F15" s="116">
        <v>97.53</v>
      </c>
      <c r="G15" s="2" t="s">
        <v>502</v>
      </c>
      <c r="H15" s="116">
        <v>115</v>
      </c>
      <c r="I15" s="116">
        <v>97.53</v>
      </c>
      <c r="J15" s="130">
        <v>61.1999</v>
      </c>
    </row>
    <row r="16" spans="2:10" x14ac:dyDescent="0.2">
      <c r="B16" s="125" t="s">
        <v>478</v>
      </c>
      <c r="C16" s="125" t="s">
        <v>478</v>
      </c>
      <c r="D16" s="125" t="s">
        <v>497</v>
      </c>
      <c r="E16" s="125" t="s">
        <v>472</v>
      </c>
      <c r="F16" s="118">
        <v>94.27</v>
      </c>
      <c r="G16" s="125" t="s">
        <v>497</v>
      </c>
      <c r="H16" s="118">
        <v>110</v>
      </c>
      <c r="I16" s="118">
        <v>94.27</v>
      </c>
      <c r="J16" s="128">
        <v>54.191200000000002</v>
      </c>
    </row>
    <row r="17" spans="2:10" x14ac:dyDescent="0.2">
      <c r="B17" s="2" t="s">
        <v>478</v>
      </c>
      <c r="C17" s="2" t="s">
        <v>478</v>
      </c>
      <c r="D17" s="2" t="s">
        <v>497</v>
      </c>
      <c r="E17" s="2" t="s">
        <v>472</v>
      </c>
      <c r="F17" s="116">
        <v>94.27</v>
      </c>
      <c r="G17" s="2" t="s">
        <v>497</v>
      </c>
      <c r="H17" s="116">
        <v>115</v>
      </c>
      <c r="I17" s="116">
        <v>94.27</v>
      </c>
      <c r="J17" s="130">
        <v>61.1999</v>
      </c>
    </row>
    <row r="18" spans="2:10" x14ac:dyDescent="0.2">
      <c r="B18" s="125" t="s">
        <v>503</v>
      </c>
      <c r="C18" s="125" t="s">
        <v>504</v>
      </c>
      <c r="D18" s="125" t="s">
        <v>497</v>
      </c>
      <c r="E18" s="125" t="s">
        <v>496</v>
      </c>
      <c r="F18" s="118">
        <v>94.27</v>
      </c>
      <c r="G18" s="125" t="s">
        <v>389</v>
      </c>
      <c r="H18" s="125" t="s">
        <v>389</v>
      </c>
      <c r="I18" s="125" t="s">
        <v>389</v>
      </c>
      <c r="J18" s="125" t="s">
        <v>389</v>
      </c>
    </row>
    <row r="19" spans="2:10" x14ac:dyDescent="0.2">
      <c r="B19" s="2" t="s">
        <v>505</v>
      </c>
      <c r="C19" s="2" t="s">
        <v>506</v>
      </c>
      <c r="D19" s="2" t="s">
        <v>497</v>
      </c>
      <c r="E19" s="2" t="s">
        <v>472</v>
      </c>
      <c r="F19" s="116">
        <v>94.27</v>
      </c>
      <c r="G19" s="2" t="s">
        <v>497</v>
      </c>
      <c r="H19" s="116">
        <v>102</v>
      </c>
      <c r="I19" s="116">
        <v>94.27</v>
      </c>
      <c r="J19" s="130">
        <v>42.9773</v>
      </c>
    </row>
    <row r="20" spans="2:10" x14ac:dyDescent="0.2">
      <c r="B20" s="125" t="s">
        <v>507</v>
      </c>
      <c r="C20" s="125" t="s">
        <v>508</v>
      </c>
      <c r="D20" s="125" t="s">
        <v>497</v>
      </c>
      <c r="E20" s="125" t="s">
        <v>496</v>
      </c>
      <c r="F20" s="118">
        <v>94.27</v>
      </c>
      <c r="G20" s="125" t="s">
        <v>497</v>
      </c>
      <c r="H20" s="118">
        <v>110</v>
      </c>
      <c r="I20" s="118">
        <v>94.27</v>
      </c>
      <c r="J20" s="128">
        <v>54.191200000000002</v>
      </c>
    </row>
    <row r="21" spans="2:10" x14ac:dyDescent="0.2">
      <c r="B21" s="2" t="s">
        <v>509</v>
      </c>
      <c r="C21" s="2" t="s">
        <v>510</v>
      </c>
      <c r="D21" s="2" t="s">
        <v>497</v>
      </c>
      <c r="E21" s="2" t="s">
        <v>472</v>
      </c>
      <c r="F21" s="116">
        <v>94.27</v>
      </c>
      <c r="G21" s="2" t="s">
        <v>497</v>
      </c>
      <c r="H21" s="116">
        <v>105</v>
      </c>
      <c r="I21" s="116">
        <v>94.27</v>
      </c>
      <c r="J21" s="130">
        <v>47.182499999999997</v>
      </c>
    </row>
    <row r="22" spans="2:10" x14ac:dyDescent="0.2">
      <c r="B22" s="125" t="s">
        <v>511</v>
      </c>
      <c r="C22" s="125" t="s">
        <v>512</v>
      </c>
      <c r="D22" s="125" t="s">
        <v>497</v>
      </c>
      <c r="E22" s="125" t="s">
        <v>472</v>
      </c>
      <c r="F22" s="118">
        <v>94.27</v>
      </c>
      <c r="G22" s="125" t="s">
        <v>497</v>
      </c>
      <c r="H22" s="118">
        <v>105</v>
      </c>
      <c r="I22" s="118">
        <v>94.27</v>
      </c>
      <c r="J22" s="128">
        <v>47.182499999999997</v>
      </c>
    </row>
    <row r="23" spans="2:10" x14ac:dyDescent="0.2">
      <c r="B23" s="2" t="s">
        <v>478</v>
      </c>
      <c r="C23" s="2" t="s">
        <v>478</v>
      </c>
      <c r="D23" s="2" t="s">
        <v>497</v>
      </c>
      <c r="E23" s="2" t="s">
        <v>472</v>
      </c>
      <c r="F23" s="116">
        <v>94.27</v>
      </c>
      <c r="G23" s="2" t="s">
        <v>497</v>
      </c>
      <c r="H23" s="116">
        <v>91</v>
      </c>
      <c r="I23" s="116">
        <v>94.27</v>
      </c>
      <c r="J23" s="130">
        <v>27.558199999999999</v>
      </c>
    </row>
    <row r="24" spans="2:10" x14ac:dyDescent="0.2">
      <c r="B24" s="125" t="s">
        <v>513</v>
      </c>
      <c r="C24" s="125" t="s">
        <v>514</v>
      </c>
      <c r="D24" s="125" t="s">
        <v>497</v>
      </c>
      <c r="E24" s="125" t="s">
        <v>472</v>
      </c>
      <c r="F24" s="118">
        <v>94.27</v>
      </c>
      <c r="G24" s="125" t="s">
        <v>497</v>
      </c>
      <c r="H24" s="118">
        <v>95</v>
      </c>
      <c r="I24" s="118">
        <v>94.27</v>
      </c>
      <c r="J24" s="128">
        <v>33.165100000000002</v>
      </c>
    </row>
    <row r="25" spans="2:10" x14ac:dyDescent="0.2">
      <c r="B25" s="2" t="s">
        <v>515</v>
      </c>
      <c r="C25" s="2" t="s">
        <v>516</v>
      </c>
      <c r="D25" s="2" t="s">
        <v>497</v>
      </c>
      <c r="E25" s="2" t="s">
        <v>496</v>
      </c>
      <c r="F25" s="116">
        <v>94.27</v>
      </c>
      <c r="G25" s="2" t="s">
        <v>497</v>
      </c>
      <c r="H25" s="116">
        <v>115</v>
      </c>
      <c r="I25" s="116">
        <v>94.27</v>
      </c>
      <c r="J25" s="130">
        <v>61.1999</v>
      </c>
    </row>
    <row r="26" spans="2:10" x14ac:dyDescent="0.2">
      <c r="B26" s="125" t="s">
        <v>517</v>
      </c>
      <c r="C26" s="125" t="s">
        <v>518</v>
      </c>
      <c r="D26" s="125" t="s">
        <v>497</v>
      </c>
      <c r="E26" s="125" t="s">
        <v>496</v>
      </c>
      <c r="F26" s="118">
        <v>94.27</v>
      </c>
      <c r="G26" s="125" t="s">
        <v>497</v>
      </c>
      <c r="H26" s="118">
        <v>120</v>
      </c>
      <c r="I26" s="118">
        <v>94.27</v>
      </c>
      <c r="J26" s="128">
        <v>68.208600000000004</v>
      </c>
    </row>
    <row r="27" spans="2:10" x14ac:dyDescent="0.2">
      <c r="B27" s="2"/>
      <c r="C27" s="2"/>
      <c r="D27" s="2"/>
      <c r="E27" s="2"/>
      <c r="F27" s="2"/>
      <c r="G27" s="2"/>
      <c r="H27" s="141"/>
      <c r="I27" s="2"/>
      <c r="J27" s="142"/>
    </row>
    <row r="28" spans="2:10" x14ac:dyDescent="0.2">
      <c r="B28" s="2"/>
      <c r="C28" s="2"/>
      <c r="D28" s="2"/>
      <c r="E28" s="2"/>
      <c r="F28" s="2"/>
      <c r="G28" s="2"/>
      <c r="H28" s="2"/>
      <c r="I28" s="2"/>
      <c r="J28" s="2"/>
    </row>
    <row r="29" spans="2:10" x14ac:dyDescent="0.2">
      <c r="B29" s="2"/>
      <c r="C29" s="2"/>
      <c r="D29" s="2"/>
      <c r="E29" s="2"/>
      <c r="F29" s="2"/>
      <c r="G29" s="2"/>
      <c r="H29" s="2"/>
      <c r="I29" s="2"/>
      <c r="J29" s="2"/>
    </row>
    <row r="30" spans="2:10" x14ac:dyDescent="0.2">
      <c r="B30" s="2"/>
      <c r="C30" s="2"/>
      <c r="D30" s="2"/>
      <c r="E30" s="2"/>
      <c r="F30" s="2"/>
      <c r="G30" s="2"/>
      <c r="H30" s="2"/>
      <c r="I30" s="2"/>
      <c r="J30" s="2"/>
    </row>
    <row r="31" spans="2:10" x14ac:dyDescent="0.2">
      <c r="B31" s="2"/>
      <c r="C31" s="2"/>
      <c r="D31" s="2"/>
      <c r="E31" s="2"/>
      <c r="F31" s="2"/>
      <c r="G31" s="2"/>
      <c r="H31" s="2"/>
      <c r="I31" s="2"/>
      <c r="J31" s="2"/>
    </row>
    <row r="32" spans="2:10" x14ac:dyDescent="0.2">
      <c r="B32" s="121"/>
      <c r="C32" s="121"/>
      <c r="D32" s="121"/>
      <c r="E32" s="121"/>
      <c r="F32" s="121"/>
      <c r="G32" s="121"/>
      <c r="H32" s="121"/>
      <c r="I32" s="121"/>
      <c r="J32" s="121"/>
    </row>
    <row r="33" spans="2:10" x14ac:dyDescent="0.2">
      <c r="B33" s="1"/>
      <c r="C33" s="2"/>
      <c r="D33" s="2"/>
      <c r="E33" s="2"/>
      <c r="F33" s="116"/>
      <c r="G33" s="2"/>
      <c r="H33" s="2"/>
      <c r="I33" s="2"/>
      <c r="J33" s="2"/>
    </row>
    <row r="34" spans="2:10" x14ac:dyDescent="0.2">
      <c r="B34" s="1"/>
      <c r="C34" s="2"/>
      <c r="D34" s="2"/>
      <c r="E34" s="2"/>
      <c r="F34" s="116"/>
      <c r="G34" s="2"/>
      <c r="H34" s="2"/>
      <c r="I34" s="2"/>
      <c r="J34" s="2"/>
    </row>
    <row r="35" spans="2:10" x14ac:dyDescent="0.2">
      <c r="B35" s="1"/>
      <c r="C35" s="2"/>
      <c r="D35" s="2"/>
      <c r="E35" s="2"/>
      <c r="F35" s="116"/>
      <c r="G35" s="2"/>
      <c r="H35" s="2"/>
      <c r="I35" s="2"/>
      <c r="J35" s="2"/>
    </row>
    <row r="36" spans="2:10" x14ac:dyDescent="0.2">
      <c r="B36" s="1"/>
      <c r="C36" s="2"/>
      <c r="D36" s="2"/>
      <c r="E36" s="2"/>
      <c r="F36" s="116"/>
      <c r="G36" s="2"/>
      <c r="H36" s="2"/>
      <c r="I36" s="2"/>
      <c r="J36" s="2"/>
    </row>
    <row r="37" spans="2:10" x14ac:dyDescent="0.2">
      <c r="B37" s="1"/>
      <c r="C37" s="2"/>
      <c r="D37" s="2"/>
      <c r="E37" s="2"/>
      <c r="F37" s="116"/>
      <c r="G37" s="2"/>
      <c r="H37" s="2"/>
      <c r="I37" s="2"/>
      <c r="J37" s="2"/>
    </row>
    <row r="38" spans="2:10" x14ac:dyDescent="0.2">
      <c r="B38" s="1"/>
      <c r="C38" s="2"/>
      <c r="D38" s="2"/>
      <c r="E38" s="2"/>
      <c r="F38" s="2"/>
      <c r="G38" s="2"/>
      <c r="H38" s="2"/>
      <c r="I38" s="2"/>
      <c r="J38" s="2"/>
    </row>
    <row r="39" spans="2:10" x14ac:dyDescent="0.2">
      <c r="B39" s="1"/>
      <c r="C39" s="2"/>
      <c r="D39" s="2"/>
      <c r="E39" s="2"/>
      <c r="F39" s="2"/>
      <c r="G39" s="2"/>
      <c r="H39" s="2"/>
      <c r="I39" s="2"/>
      <c r="J39" s="2"/>
    </row>
    <row r="40" spans="2:10" x14ac:dyDescent="0.2">
      <c r="B40" s="1"/>
      <c r="C40" s="2"/>
      <c r="D40" s="2"/>
      <c r="E40" s="2"/>
      <c r="F40" s="2"/>
      <c r="G40" s="2"/>
      <c r="H40" s="2"/>
      <c r="I40" s="2"/>
      <c r="J40" s="2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F15324-AA1D-1C4A-B8D8-B29B2649B783}">
  <sheetPr>
    <tabColor theme="9"/>
  </sheetPr>
  <dimension ref="A1"/>
  <sheetViews>
    <sheetView workbookViewId="0">
      <selection activeCell="I45" sqref="I45"/>
    </sheetView>
  </sheetViews>
  <sheetFormatPr baseColWidth="10" defaultColWidth="11.5" defaultRowHeight="15" x14ac:dyDescent="0.2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V146"/>
  <sheetViews>
    <sheetView showGridLines="0" zoomScale="130" zoomScaleNormal="130" workbookViewId="0"/>
  </sheetViews>
  <sheetFormatPr baseColWidth="10" defaultColWidth="8.83203125" defaultRowHeight="15" x14ac:dyDescent="0.2"/>
  <cols>
    <col min="1" max="1" width="1.6640625" customWidth="1"/>
    <col min="2" max="2" width="21.83203125" bestFit="1" customWidth="1"/>
    <col min="3" max="11" width="13.6640625" bestFit="1" customWidth="1"/>
  </cols>
  <sheetData>
    <row r="1" spans="2:22" x14ac:dyDescent="0.2">
      <c r="B1" s="4" t="s">
        <v>122</v>
      </c>
      <c r="C1" s="4">
        <v>2022</v>
      </c>
      <c r="D1" s="4" t="s">
        <v>212</v>
      </c>
      <c r="E1" s="4" t="s">
        <v>213</v>
      </c>
      <c r="F1" s="4">
        <v>2023</v>
      </c>
      <c r="G1" s="4" t="s">
        <v>214</v>
      </c>
      <c r="H1" s="4" t="s">
        <v>215</v>
      </c>
      <c r="I1" s="4">
        <v>2024</v>
      </c>
      <c r="J1" s="4" t="s">
        <v>216</v>
      </c>
      <c r="K1" s="4" t="s">
        <v>217</v>
      </c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spans="2:22" x14ac:dyDescent="0.2">
      <c r="B2" t="s">
        <v>68</v>
      </c>
      <c r="C2" s="10">
        <v>4264473</v>
      </c>
      <c r="D2" s="10">
        <v>3216404</v>
      </c>
      <c r="E2" s="9">
        <f>C2-D2</f>
        <v>1048069</v>
      </c>
      <c r="F2" s="10">
        <v>4413884</v>
      </c>
      <c r="G2" s="10">
        <v>3365763</v>
      </c>
      <c r="H2" s="9">
        <f>F2-G2</f>
        <v>1048121</v>
      </c>
      <c r="I2" s="10">
        <v>4455770</v>
      </c>
      <c r="J2" s="10">
        <v>3348354</v>
      </c>
      <c r="K2" s="9">
        <f>I2-J2</f>
        <v>1107416</v>
      </c>
    </row>
    <row r="3" spans="2:22" x14ac:dyDescent="0.2">
      <c r="B3" s="1" t="s">
        <v>198</v>
      </c>
      <c r="C3" s="25">
        <v>2536757</v>
      </c>
      <c r="D3" s="25">
        <v>1924589</v>
      </c>
      <c r="E3" s="28">
        <f t="shared" ref="E3:E13" si="0">C3-D3</f>
        <v>612168</v>
      </c>
      <c r="F3" s="25">
        <v>2555536</v>
      </c>
      <c r="G3" s="25">
        <v>1949557</v>
      </c>
      <c r="H3" s="28">
        <f t="shared" ref="H3:H13" si="1">F3-G3</f>
        <v>605979</v>
      </c>
      <c r="I3" s="25">
        <v>2527519</v>
      </c>
      <c r="J3" s="25">
        <v>1901424</v>
      </c>
      <c r="K3" s="28">
        <f t="shared" ref="K3:K13" si="2">I3-J3</f>
        <v>626095</v>
      </c>
    </row>
    <row r="4" spans="2:22" x14ac:dyDescent="0.2">
      <c r="B4" s="2" t="s">
        <v>75</v>
      </c>
      <c r="C4" s="25">
        <v>1727716</v>
      </c>
      <c r="D4" s="25">
        <v>1291815</v>
      </c>
      <c r="E4" s="28">
        <f t="shared" si="0"/>
        <v>435901</v>
      </c>
      <c r="F4" s="25">
        <v>1858348</v>
      </c>
      <c r="G4" s="25">
        <v>1416206</v>
      </c>
      <c r="H4" s="28">
        <f t="shared" si="1"/>
        <v>442142</v>
      </c>
      <c r="I4" s="25">
        <v>1928251</v>
      </c>
      <c r="J4" s="25">
        <v>1446930</v>
      </c>
      <c r="K4" s="28">
        <f t="shared" si="2"/>
        <v>481321</v>
      </c>
    </row>
    <row r="5" spans="2:22" x14ac:dyDescent="0.2">
      <c r="B5" s="1" t="s">
        <v>125</v>
      </c>
      <c r="C5" s="25">
        <v>1078466</v>
      </c>
      <c r="D5" s="25">
        <v>798437</v>
      </c>
      <c r="E5" s="28">
        <f t="shared" si="0"/>
        <v>280029</v>
      </c>
      <c r="F5" s="25">
        <v>1239225</v>
      </c>
      <c r="G5" s="25">
        <v>923658</v>
      </c>
      <c r="H5" s="28">
        <f t="shared" si="1"/>
        <v>315567</v>
      </c>
      <c r="I5" s="25">
        <v>1362325</v>
      </c>
      <c r="J5" s="25">
        <v>1014888</v>
      </c>
      <c r="K5" s="28">
        <f t="shared" si="2"/>
        <v>347437</v>
      </c>
    </row>
    <row r="6" spans="2:22" x14ac:dyDescent="0.2">
      <c r="B6" s="1" t="s">
        <v>126</v>
      </c>
      <c r="C6" s="25">
        <v>213848</v>
      </c>
      <c r="D6" s="25">
        <v>162449</v>
      </c>
      <c r="E6" s="28">
        <f t="shared" si="0"/>
        <v>51399</v>
      </c>
      <c r="F6" s="25">
        <v>252713</v>
      </c>
      <c r="G6" s="25">
        <v>185060</v>
      </c>
      <c r="H6" s="28">
        <f t="shared" si="1"/>
        <v>67653</v>
      </c>
      <c r="I6" s="25">
        <v>266165</v>
      </c>
      <c r="J6" s="25">
        <v>202135</v>
      </c>
      <c r="K6" s="28">
        <f t="shared" si="2"/>
        <v>64030</v>
      </c>
    </row>
    <row r="7" spans="2:22" x14ac:dyDescent="0.2">
      <c r="B7" s="1" t="s">
        <v>127</v>
      </c>
      <c r="C7" s="25">
        <v>38642</v>
      </c>
      <c r="D7" s="25">
        <v>28890</v>
      </c>
      <c r="E7" s="28">
        <f t="shared" si="0"/>
        <v>9752</v>
      </c>
      <c r="F7" s="25">
        <v>44982</v>
      </c>
      <c r="G7" s="25">
        <v>32226</v>
      </c>
      <c r="H7" s="28">
        <f t="shared" si="1"/>
        <v>12756</v>
      </c>
      <c r="I7" s="25">
        <v>43585</v>
      </c>
      <c r="J7" s="25">
        <v>32951</v>
      </c>
      <c r="K7" s="28">
        <f t="shared" si="2"/>
        <v>10634</v>
      </c>
    </row>
    <row r="8" spans="2:22" x14ac:dyDescent="0.2">
      <c r="B8" s="1" t="s">
        <v>218</v>
      </c>
      <c r="C8" s="25">
        <v>1330956</v>
      </c>
      <c r="D8" s="25">
        <v>989776</v>
      </c>
      <c r="E8" s="28">
        <f t="shared" si="0"/>
        <v>341180</v>
      </c>
      <c r="F8" s="25">
        <v>1536920</v>
      </c>
      <c r="G8" s="25">
        <v>1140944</v>
      </c>
      <c r="H8" s="28">
        <f t="shared" si="1"/>
        <v>395976</v>
      </c>
      <c r="I8" s="25">
        <v>1672075</v>
      </c>
      <c r="J8" s="25">
        <v>1249974</v>
      </c>
      <c r="K8" s="28">
        <f t="shared" si="2"/>
        <v>422101</v>
      </c>
    </row>
    <row r="9" spans="2:22" x14ac:dyDescent="0.2">
      <c r="B9" s="2" t="s">
        <v>200</v>
      </c>
      <c r="C9" s="25">
        <v>396760</v>
      </c>
      <c r="D9" s="25">
        <v>302039</v>
      </c>
      <c r="E9" s="28">
        <f t="shared" si="0"/>
        <v>94721</v>
      </c>
      <c r="F9" s="25">
        <v>321428</v>
      </c>
      <c r="G9" s="25">
        <v>275262</v>
      </c>
      <c r="H9" s="28">
        <f t="shared" si="1"/>
        <v>46166</v>
      </c>
      <c r="I9" s="25">
        <v>256176</v>
      </c>
      <c r="J9" s="25">
        <v>196956</v>
      </c>
      <c r="K9" s="28">
        <f t="shared" si="2"/>
        <v>59220</v>
      </c>
    </row>
    <row r="10" spans="2:22" x14ac:dyDescent="0.2">
      <c r="B10" s="1" t="s">
        <v>129</v>
      </c>
      <c r="C10" s="25">
        <v>11138</v>
      </c>
      <c r="D10" s="25">
        <v>5866</v>
      </c>
      <c r="E10" s="28">
        <f t="shared" si="0"/>
        <v>5272</v>
      </c>
      <c r="F10" s="25">
        <v>9897</v>
      </c>
      <c r="G10" s="25">
        <v>9006</v>
      </c>
      <c r="H10" s="28">
        <f t="shared" si="1"/>
        <v>891</v>
      </c>
      <c r="I10" s="25">
        <v>2773</v>
      </c>
      <c r="J10" s="25">
        <v>2807</v>
      </c>
      <c r="K10" s="28">
        <f t="shared" si="2"/>
        <v>-34</v>
      </c>
    </row>
    <row r="11" spans="2:22" x14ac:dyDescent="0.2">
      <c r="B11" s="2" t="s">
        <v>201</v>
      </c>
      <c r="C11" s="25">
        <v>385622</v>
      </c>
      <c r="D11" s="25">
        <v>296173</v>
      </c>
      <c r="E11" s="28">
        <f t="shared" si="0"/>
        <v>89449</v>
      </c>
      <c r="F11" s="25">
        <v>311531</v>
      </c>
      <c r="G11" s="25">
        <v>266256</v>
      </c>
      <c r="H11" s="28">
        <f t="shared" si="1"/>
        <v>45275</v>
      </c>
      <c r="I11" s="25">
        <v>253403</v>
      </c>
      <c r="J11" s="25">
        <v>194149</v>
      </c>
      <c r="K11" s="28">
        <f t="shared" si="2"/>
        <v>59254</v>
      </c>
    </row>
    <row r="12" spans="2:22" x14ac:dyDescent="0.2">
      <c r="B12" s="1" t="s">
        <v>131</v>
      </c>
      <c r="C12" s="25">
        <v>87427</v>
      </c>
      <c r="D12" s="25">
        <v>67215</v>
      </c>
      <c r="E12" s="28">
        <f t="shared" si="0"/>
        <v>20212</v>
      </c>
      <c r="F12" s="25">
        <v>65551</v>
      </c>
      <c r="G12" s="25">
        <v>57357</v>
      </c>
      <c r="H12" s="28">
        <f t="shared" si="1"/>
        <v>8194</v>
      </c>
      <c r="I12" s="25">
        <v>47531</v>
      </c>
      <c r="J12" s="25">
        <v>35761</v>
      </c>
      <c r="K12" s="28">
        <f t="shared" si="2"/>
        <v>11770</v>
      </c>
    </row>
    <row r="13" spans="2:22" x14ac:dyDescent="0.2">
      <c r="B13" s="2" t="s">
        <v>132</v>
      </c>
      <c r="C13" s="10">
        <v>298195</v>
      </c>
      <c r="D13" s="10">
        <v>228958</v>
      </c>
      <c r="E13" s="9">
        <f t="shared" si="0"/>
        <v>69237</v>
      </c>
      <c r="F13" s="10">
        <v>245980</v>
      </c>
      <c r="G13" s="10">
        <v>208899</v>
      </c>
      <c r="H13" s="9">
        <f t="shared" si="1"/>
        <v>37081</v>
      </c>
      <c r="I13" s="10">
        <v>205872</v>
      </c>
      <c r="J13" s="10">
        <v>158388</v>
      </c>
      <c r="K13" s="9">
        <f t="shared" si="2"/>
        <v>47484</v>
      </c>
    </row>
    <row r="15" spans="2:22" x14ac:dyDescent="0.2">
      <c r="B15" s="4"/>
      <c r="C15" s="4"/>
      <c r="D15" s="4"/>
      <c r="E15" s="4"/>
      <c r="F15" s="4"/>
      <c r="G15" s="4"/>
      <c r="H15" s="4"/>
      <c r="I15" s="4"/>
      <c r="J15" s="4"/>
      <c r="K15" s="4"/>
    </row>
    <row r="17" spans="2:9" x14ac:dyDescent="0.2">
      <c r="B17" s="1"/>
      <c r="C17" s="26"/>
    </row>
    <row r="18" spans="2:9" x14ac:dyDescent="0.2">
      <c r="B18" s="1"/>
      <c r="C18" s="27"/>
    </row>
    <row r="19" spans="2:9" x14ac:dyDescent="0.2">
      <c r="B19" s="1"/>
      <c r="C19" s="27"/>
    </row>
    <row r="20" spans="2:9" x14ac:dyDescent="0.2">
      <c r="B20" s="1"/>
      <c r="C20" s="27"/>
    </row>
    <row r="21" spans="2:9" x14ac:dyDescent="0.2">
      <c r="B21" s="1"/>
      <c r="C21" s="27"/>
    </row>
    <row r="22" spans="2:9" x14ac:dyDescent="0.2">
      <c r="C22" s="27"/>
    </row>
    <row r="23" spans="2:9" x14ac:dyDescent="0.2">
      <c r="B23" s="1"/>
      <c r="C23" s="27"/>
    </row>
    <row r="24" spans="2:9" x14ac:dyDescent="0.2">
      <c r="B24" s="1"/>
      <c r="C24" s="27"/>
    </row>
    <row r="25" spans="2:9" x14ac:dyDescent="0.2">
      <c r="B25" s="1"/>
      <c r="C25" s="27"/>
    </row>
    <row r="26" spans="2:9" x14ac:dyDescent="0.2">
      <c r="B26" s="1"/>
      <c r="C26" s="27"/>
    </row>
    <row r="27" spans="2:9" x14ac:dyDescent="0.2">
      <c r="B27" s="1"/>
      <c r="C27" s="27"/>
    </row>
    <row r="28" spans="2:9" x14ac:dyDescent="0.2">
      <c r="B28" s="1"/>
      <c r="C28" s="27"/>
    </row>
    <row r="29" spans="2:9" x14ac:dyDescent="0.2">
      <c r="C29" s="27"/>
    </row>
    <row r="30" spans="2:9" x14ac:dyDescent="0.2">
      <c r="C30" s="27"/>
      <c r="I30" s="20"/>
    </row>
    <row r="33" spans="2:9" x14ac:dyDescent="0.2">
      <c r="B33" s="1"/>
      <c r="C33" s="27"/>
    </row>
    <row r="34" spans="2:9" x14ac:dyDescent="0.2">
      <c r="B34" s="1"/>
      <c r="C34" s="27"/>
    </row>
    <row r="35" spans="2:9" x14ac:dyDescent="0.2">
      <c r="B35" s="1"/>
      <c r="C35" s="27"/>
    </row>
    <row r="36" spans="2:9" x14ac:dyDescent="0.2">
      <c r="B36" s="1"/>
      <c r="C36" s="27"/>
    </row>
    <row r="37" spans="2:9" x14ac:dyDescent="0.2">
      <c r="B37" s="1"/>
      <c r="C37" s="27"/>
    </row>
    <row r="38" spans="2:9" x14ac:dyDescent="0.2">
      <c r="B38" s="1"/>
      <c r="I38" s="21"/>
    </row>
    <row r="39" spans="2:9" x14ac:dyDescent="0.2">
      <c r="C39" s="27"/>
    </row>
    <row r="40" spans="2:9" x14ac:dyDescent="0.2">
      <c r="B40" s="1"/>
      <c r="C40" s="27"/>
    </row>
    <row r="41" spans="2:9" x14ac:dyDescent="0.2">
      <c r="B41" s="1"/>
      <c r="C41" s="27"/>
    </row>
    <row r="42" spans="2:9" x14ac:dyDescent="0.2">
      <c r="B42" s="1"/>
      <c r="C42" s="27"/>
    </row>
    <row r="43" spans="2:9" x14ac:dyDescent="0.2">
      <c r="B43" s="1"/>
      <c r="C43" s="27"/>
    </row>
    <row r="44" spans="2:9" x14ac:dyDescent="0.2">
      <c r="B44" s="1"/>
      <c r="C44" s="27"/>
    </row>
    <row r="45" spans="2:9" x14ac:dyDescent="0.2">
      <c r="C45" s="27"/>
    </row>
    <row r="46" spans="2:9" x14ac:dyDescent="0.2">
      <c r="C46" s="27"/>
    </row>
    <row r="47" spans="2:9" x14ac:dyDescent="0.2">
      <c r="B47" s="1"/>
      <c r="C47" s="27"/>
    </row>
    <row r="48" spans="2:9" x14ac:dyDescent="0.2">
      <c r="B48" s="1"/>
      <c r="C48" s="27"/>
    </row>
    <row r="49" spans="2:9" x14ac:dyDescent="0.2">
      <c r="B49" s="1"/>
      <c r="C49" s="27"/>
    </row>
    <row r="50" spans="2:9" x14ac:dyDescent="0.2">
      <c r="B50" s="2"/>
      <c r="C50" s="27"/>
    </row>
    <row r="51" spans="2:9" x14ac:dyDescent="0.2">
      <c r="B51" s="2"/>
      <c r="C51" s="27"/>
    </row>
    <row r="64" spans="2:9" x14ac:dyDescent="0.2">
      <c r="I64" s="21"/>
    </row>
    <row r="70" spans="9:9" x14ac:dyDescent="0.2">
      <c r="I70" s="21"/>
    </row>
    <row r="86" spans="9:9" x14ac:dyDescent="0.2">
      <c r="I86" s="21"/>
    </row>
    <row r="88" spans="9:9" x14ac:dyDescent="0.2">
      <c r="I88" s="21"/>
    </row>
    <row r="90" spans="9:9" x14ac:dyDescent="0.2">
      <c r="I90" s="21"/>
    </row>
    <row r="92" spans="9:9" x14ac:dyDescent="0.2">
      <c r="I92" s="21"/>
    </row>
    <row r="94" spans="9:9" x14ac:dyDescent="0.2">
      <c r="I94" s="21"/>
    </row>
    <row r="96" spans="9:9" x14ac:dyDescent="0.2">
      <c r="I96" s="21"/>
    </row>
    <row r="98" spans="9:9" x14ac:dyDescent="0.2">
      <c r="I98" s="21"/>
    </row>
    <row r="100" spans="9:9" x14ac:dyDescent="0.2">
      <c r="I100" s="21"/>
    </row>
    <row r="102" spans="9:9" x14ac:dyDescent="0.2">
      <c r="I102" s="21"/>
    </row>
    <row r="104" spans="9:9" x14ac:dyDescent="0.2">
      <c r="I104" s="21"/>
    </row>
    <row r="108" spans="9:9" x14ac:dyDescent="0.2">
      <c r="I108" s="21"/>
    </row>
    <row r="110" spans="9:9" x14ac:dyDescent="0.2">
      <c r="I110" s="21"/>
    </row>
    <row r="112" spans="9:9" x14ac:dyDescent="0.2">
      <c r="I112" s="21"/>
    </row>
    <row r="114" spans="9:9" x14ac:dyDescent="0.2">
      <c r="I114" s="21"/>
    </row>
    <row r="116" spans="9:9" x14ac:dyDescent="0.2">
      <c r="I116" s="21"/>
    </row>
    <row r="118" spans="9:9" x14ac:dyDescent="0.2">
      <c r="I118" s="21"/>
    </row>
    <row r="124" spans="9:9" x14ac:dyDescent="0.2">
      <c r="I124" s="21"/>
    </row>
    <row r="126" spans="9:9" x14ac:dyDescent="0.2">
      <c r="I126" s="21"/>
    </row>
    <row r="128" spans="9:9" x14ac:dyDescent="0.2">
      <c r="I128" s="21"/>
    </row>
    <row r="130" spans="9:9" x14ac:dyDescent="0.2">
      <c r="I130" s="21"/>
    </row>
    <row r="132" spans="9:9" x14ac:dyDescent="0.2">
      <c r="I132" s="21"/>
    </row>
    <row r="134" spans="9:9" x14ac:dyDescent="0.2">
      <c r="I134" s="21"/>
    </row>
    <row r="136" spans="9:9" x14ac:dyDescent="0.2">
      <c r="I136" s="21"/>
    </row>
    <row r="138" spans="9:9" x14ac:dyDescent="0.2">
      <c r="I138" s="21"/>
    </row>
    <row r="140" spans="9:9" x14ac:dyDescent="0.2">
      <c r="I140" s="21"/>
    </row>
    <row r="142" spans="9:9" x14ac:dyDescent="0.2">
      <c r="I142" s="21"/>
    </row>
    <row r="144" spans="9:9" x14ac:dyDescent="0.2">
      <c r="I144" s="21"/>
    </row>
    <row r="146" spans="9:9" x14ac:dyDescent="0.2">
      <c r="I146" s="21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45E397-A26A-294F-9FD6-B6B9102008AB}">
  <dimension ref="B1:W71"/>
  <sheetViews>
    <sheetView showGridLines="0" zoomScale="130" zoomScaleNormal="130" workbookViewId="0"/>
  </sheetViews>
  <sheetFormatPr baseColWidth="10" defaultColWidth="11.5" defaultRowHeight="15" x14ac:dyDescent="0.2"/>
  <cols>
    <col min="1" max="1" width="1.6640625" customWidth="1"/>
    <col min="2" max="2" width="44.33203125" customWidth="1"/>
    <col min="4" max="4" width="10.83203125" customWidth="1"/>
    <col min="6" max="6" width="10.83203125" customWidth="1"/>
    <col min="8" max="8" width="10.83203125" customWidth="1"/>
    <col min="11" max="11" width="10.83203125" customWidth="1"/>
    <col min="13" max="13" width="10.83203125" customWidth="1"/>
    <col min="15" max="15" width="10.83203125" customWidth="1"/>
    <col min="18" max="18" width="10.83203125" customWidth="1"/>
    <col min="20" max="20" width="10.83203125" customWidth="1"/>
    <col min="22" max="22" width="10.83203125" customWidth="1"/>
  </cols>
  <sheetData>
    <row r="1" spans="2:23" x14ac:dyDescent="0.2">
      <c r="C1" s="183">
        <v>2022</v>
      </c>
      <c r="D1" s="183"/>
      <c r="E1" s="183"/>
      <c r="F1" s="183"/>
      <c r="G1" s="183"/>
      <c r="H1" s="183"/>
      <c r="I1" s="183"/>
      <c r="J1" s="183">
        <v>2023</v>
      </c>
      <c r="K1" s="183"/>
      <c r="L1" s="183"/>
      <c r="M1" s="183"/>
      <c r="N1" s="183"/>
      <c r="O1" s="183"/>
      <c r="P1" s="183"/>
      <c r="Q1" s="184">
        <v>2024</v>
      </c>
      <c r="R1" s="184"/>
      <c r="S1" s="184"/>
      <c r="T1" s="184"/>
      <c r="U1" s="184"/>
      <c r="V1" s="184"/>
      <c r="W1" s="184"/>
    </row>
    <row r="2" spans="2:23" x14ac:dyDescent="0.2">
      <c r="B2" s="40" t="s">
        <v>219</v>
      </c>
      <c r="C2" s="41" t="s">
        <v>21</v>
      </c>
      <c r="D2" t="s">
        <v>220</v>
      </c>
      <c r="E2" t="s">
        <v>22</v>
      </c>
      <c r="F2" t="s">
        <v>221</v>
      </c>
      <c r="G2" t="s">
        <v>23</v>
      </c>
      <c r="H2" t="s">
        <v>222</v>
      </c>
      <c r="I2" t="s">
        <v>24</v>
      </c>
      <c r="J2" s="41" t="s">
        <v>21</v>
      </c>
      <c r="K2" t="s">
        <v>220</v>
      </c>
      <c r="L2" t="s">
        <v>22</v>
      </c>
      <c r="M2" t="s">
        <v>221</v>
      </c>
      <c r="N2" t="s">
        <v>23</v>
      </c>
      <c r="O2" t="s">
        <v>222</v>
      </c>
      <c r="P2" t="s">
        <v>24</v>
      </c>
      <c r="Q2" s="52" t="s">
        <v>21</v>
      </c>
      <c r="R2" s="52" t="s">
        <v>220</v>
      </c>
      <c r="S2" s="52" t="s">
        <v>22</v>
      </c>
      <c r="T2" s="52" t="s">
        <v>221</v>
      </c>
      <c r="U2" s="52" t="s">
        <v>23</v>
      </c>
      <c r="V2" s="52" t="s">
        <v>222</v>
      </c>
      <c r="W2" s="52" t="s">
        <v>24</v>
      </c>
    </row>
    <row r="3" spans="2:23" x14ac:dyDescent="0.2">
      <c r="B3" s="42" t="s">
        <v>177</v>
      </c>
      <c r="C3" s="44">
        <v>70951</v>
      </c>
      <c r="D3" s="44">
        <v>152783</v>
      </c>
      <c r="E3" s="26">
        <f>D3-C3</f>
        <v>81832</v>
      </c>
      <c r="F3" s="44">
        <v>228958</v>
      </c>
      <c r="G3" s="26">
        <f>F3-D3</f>
        <v>76175</v>
      </c>
      <c r="H3" s="44">
        <v>298195</v>
      </c>
      <c r="I3" s="43">
        <f>H3-F3</f>
        <v>69237</v>
      </c>
      <c r="J3" s="53">
        <v>71524</v>
      </c>
      <c r="K3" s="30">
        <v>142976</v>
      </c>
      <c r="L3" s="43">
        <f>K3-J3</f>
        <v>71452</v>
      </c>
      <c r="M3" s="30">
        <v>208899</v>
      </c>
      <c r="N3" s="43">
        <f>M3-K3</f>
        <v>65923</v>
      </c>
      <c r="O3" s="44">
        <v>245980</v>
      </c>
      <c r="P3" s="43">
        <f>O3-M3</f>
        <v>37081</v>
      </c>
      <c r="Q3" s="30">
        <v>50032</v>
      </c>
      <c r="R3" s="30">
        <v>106698</v>
      </c>
      <c r="S3" s="43">
        <f>R3-Q3</f>
        <v>56666</v>
      </c>
      <c r="T3" s="30">
        <v>158388</v>
      </c>
      <c r="U3" s="43">
        <f>T3-R3</f>
        <v>51690</v>
      </c>
      <c r="V3" s="30">
        <v>205872</v>
      </c>
      <c r="W3" s="43">
        <f>V3-T3</f>
        <v>47484</v>
      </c>
    </row>
    <row r="4" spans="2:23" ht="16" x14ac:dyDescent="0.2">
      <c r="B4" s="40" t="s">
        <v>223</v>
      </c>
      <c r="C4" s="45"/>
      <c r="D4" s="46" t="s">
        <v>224</v>
      </c>
      <c r="E4" s="26"/>
      <c r="F4" s="46"/>
      <c r="G4" s="26"/>
      <c r="H4" s="46"/>
      <c r="I4" s="43"/>
      <c r="J4" s="53" t="s">
        <v>224</v>
      </c>
      <c r="K4" s="54" t="s">
        <v>224</v>
      </c>
      <c r="L4" s="43"/>
      <c r="M4" s="54" t="s">
        <v>224</v>
      </c>
      <c r="N4" s="43"/>
      <c r="O4" s="46" t="s">
        <v>224</v>
      </c>
      <c r="P4" s="43"/>
      <c r="Q4" s="54" t="s">
        <v>224</v>
      </c>
      <c r="R4" s="54" t="s">
        <v>224</v>
      </c>
      <c r="S4" s="43"/>
      <c r="T4" s="54" t="s">
        <v>224</v>
      </c>
      <c r="U4" s="43"/>
      <c r="V4" s="54" t="s">
        <v>224</v>
      </c>
      <c r="W4" s="43"/>
    </row>
    <row r="5" spans="2:23" x14ac:dyDescent="0.2">
      <c r="B5" s="42" t="s">
        <v>225</v>
      </c>
      <c r="C5" s="47">
        <v>34613</v>
      </c>
      <c r="D5" s="47">
        <v>72566</v>
      </c>
      <c r="E5" s="26">
        <f t="shared" ref="E5:E43" si="0">D5-C5</f>
        <v>37953</v>
      </c>
      <c r="F5" s="47">
        <v>112691</v>
      </c>
      <c r="G5" s="26">
        <f t="shared" ref="G5:G43" si="1">F5-D5</f>
        <v>40125</v>
      </c>
      <c r="H5" s="47">
        <v>155023</v>
      </c>
      <c r="I5" s="43">
        <f t="shared" ref="I5:I43" si="2">H5-F5</f>
        <v>42332</v>
      </c>
      <c r="J5" s="53">
        <v>46352</v>
      </c>
      <c r="K5" s="31">
        <v>96028</v>
      </c>
      <c r="L5" s="43">
        <f t="shared" ref="L5:L43" si="3">K5-J5</f>
        <v>49676</v>
      </c>
      <c r="M5" s="31">
        <v>146947</v>
      </c>
      <c r="N5" s="43">
        <f t="shared" ref="N5:N43" si="4">M5-K5</f>
        <v>50919</v>
      </c>
      <c r="O5" s="47">
        <v>201869</v>
      </c>
      <c r="P5" s="43">
        <f t="shared" ref="P5:P43" si="5">O5-M5</f>
        <v>54922</v>
      </c>
      <c r="Q5" s="31">
        <v>56423</v>
      </c>
      <c r="R5" s="31">
        <v>114807</v>
      </c>
      <c r="S5" s="43">
        <f t="shared" ref="S5:S43" si="6">R5-Q5</f>
        <v>58384</v>
      </c>
      <c r="T5" s="31">
        <v>172690</v>
      </c>
      <c r="U5" s="43">
        <f t="shared" ref="U5:U43" si="7">T5-R5</f>
        <v>57883</v>
      </c>
      <c r="V5" s="31">
        <v>232473</v>
      </c>
      <c r="W5" s="43">
        <f t="shared" ref="W5:W43" si="8">V5-T5</f>
        <v>59783</v>
      </c>
    </row>
    <row r="6" spans="2:23" x14ac:dyDescent="0.2">
      <c r="B6" s="42" t="s">
        <v>226</v>
      </c>
      <c r="C6" s="47">
        <v>5980</v>
      </c>
      <c r="D6" s="47">
        <v>10869</v>
      </c>
      <c r="E6" s="26">
        <f t="shared" si="0"/>
        <v>4889</v>
      </c>
      <c r="F6" s="47">
        <v>17229</v>
      </c>
      <c r="G6" s="26">
        <f t="shared" si="1"/>
        <v>6360</v>
      </c>
      <c r="H6" s="47">
        <v>22233</v>
      </c>
      <c r="I6" s="43">
        <f t="shared" si="2"/>
        <v>5004</v>
      </c>
      <c r="J6" s="53">
        <v>6741</v>
      </c>
      <c r="K6" s="31">
        <v>15047</v>
      </c>
      <c r="L6" s="43">
        <f t="shared" si="3"/>
        <v>8306</v>
      </c>
      <c r="M6" s="31">
        <v>20336</v>
      </c>
      <c r="N6" s="43">
        <f t="shared" si="4"/>
        <v>5289</v>
      </c>
      <c r="O6" s="47">
        <v>27240</v>
      </c>
      <c r="P6" s="43">
        <f t="shared" si="5"/>
        <v>6904</v>
      </c>
      <c r="Q6" s="31">
        <v>-7530</v>
      </c>
      <c r="R6" s="31">
        <v>15587</v>
      </c>
      <c r="S6" s="43">
        <f t="shared" si="6"/>
        <v>23117</v>
      </c>
      <c r="T6" s="31">
        <v>25618</v>
      </c>
      <c r="U6" s="43">
        <f t="shared" si="7"/>
        <v>10031</v>
      </c>
      <c r="V6" s="31">
        <v>33695</v>
      </c>
      <c r="W6" s="43">
        <f t="shared" si="8"/>
        <v>8077</v>
      </c>
    </row>
    <row r="7" spans="2:23" x14ac:dyDescent="0.2">
      <c r="B7" s="42" t="s">
        <v>227</v>
      </c>
      <c r="C7" s="47">
        <v>364</v>
      </c>
      <c r="D7" s="47">
        <v>1389</v>
      </c>
      <c r="E7" s="26">
        <f t="shared" si="0"/>
        <v>1025</v>
      </c>
      <c r="F7" s="47">
        <v>1530</v>
      </c>
      <c r="G7" s="26">
        <f t="shared" si="1"/>
        <v>141</v>
      </c>
      <c r="H7" s="47">
        <v>2529</v>
      </c>
      <c r="I7" s="43">
        <f t="shared" si="2"/>
        <v>999</v>
      </c>
      <c r="J7" s="53">
        <v>1434</v>
      </c>
      <c r="K7" s="31">
        <v>1787</v>
      </c>
      <c r="L7" s="43">
        <f t="shared" si="3"/>
        <v>353</v>
      </c>
      <c r="M7" s="31">
        <v>4953</v>
      </c>
      <c r="N7" s="43">
        <f t="shared" si="4"/>
        <v>3166</v>
      </c>
      <c r="O7" s="47">
        <v>2609</v>
      </c>
      <c r="P7" s="43">
        <f t="shared" si="5"/>
        <v>-2344</v>
      </c>
      <c r="Q7" s="31">
        <v>7232</v>
      </c>
      <c r="R7" s="31">
        <v>-13770</v>
      </c>
      <c r="S7" s="43">
        <f t="shared" si="6"/>
        <v>-21002</v>
      </c>
      <c r="T7" s="31">
        <v>-15813</v>
      </c>
      <c r="U7" s="43">
        <f t="shared" si="7"/>
        <v>-2043</v>
      </c>
      <c r="V7" s="31">
        <v>2103</v>
      </c>
      <c r="W7" s="43">
        <f t="shared" si="8"/>
        <v>17916</v>
      </c>
    </row>
    <row r="8" spans="2:23" x14ac:dyDescent="0.2">
      <c r="B8" s="42" t="s">
        <v>228</v>
      </c>
      <c r="C8" s="47">
        <v>237</v>
      </c>
      <c r="D8" s="47">
        <v>2475</v>
      </c>
      <c r="E8" s="26">
        <f t="shared" si="0"/>
        <v>2238</v>
      </c>
      <c r="F8" s="47">
        <v>1747</v>
      </c>
      <c r="G8" s="26">
        <f t="shared" si="1"/>
        <v>-728</v>
      </c>
      <c r="H8" s="47">
        <v>2525</v>
      </c>
      <c r="I8" s="43">
        <f t="shared" si="2"/>
        <v>778</v>
      </c>
      <c r="J8" s="53">
        <v>-7211</v>
      </c>
      <c r="K8" s="31">
        <v>-13480</v>
      </c>
      <c r="L8" s="43">
        <f t="shared" si="3"/>
        <v>-6269</v>
      </c>
      <c r="M8" s="31">
        <v>2329</v>
      </c>
      <c r="N8" s="43">
        <f t="shared" si="4"/>
        <v>15809</v>
      </c>
      <c r="O8" s="47">
        <v>23722</v>
      </c>
      <c r="P8" s="43">
        <f t="shared" si="5"/>
        <v>21393</v>
      </c>
      <c r="Q8" s="31">
        <v>576</v>
      </c>
      <c r="R8" s="31">
        <v>1511</v>
      </c>
      <c r="S8" s="43">
        <f t="shared" si="6"/>
        <v>935</v>
      </c>
      <c r="T8" s="31">
        <v>1511</v>
      </c>
      <c r="U8" s="43">
        <f t="shared" si="7"/>
        <v>0</v>
      </c>
      <c r="V8" s="31">
        <v>-1807</v>
      </c>
      <c r="W8" s="43">
        <f t="shared" si="8"/>
        <v>-3318</v>
      </c>
    </row>
    <row r="9" spans="2:23" x14ac:dyDescent="0.2">
      <c r="B9" s="42" t="s">
        <v>229</v>
      </c>
      <c r="C9" s="47">
        <v>29</v>
      </c>
      <c r="D9" s="47">
        <v>57</v>
      </c>
      <c r="E9" s="26">
        <f t="shared" si="0"/>
        <v>28</v>
      </c>
      <c r="F9" s="47">
        <v>85</v>
      </c>
      <c r="G9" s="26">
        <f t="shared" si="1"/>
        <v>28</v>
      </c>
      <c r="H9" s="47">
        <v>114</v>
      </c>
      <c r="I9" s="43">
        <f t="shared" si="2"/>
        <v>29</v>
      </c>
      <c r="J9" s="53">
        <v>28</v>
      </c>
      <c r="K9" s="31">
        <v>57</v>
      </c>
      <c r="L9" s="43">
        <f t="shared" si="3"/>
        <v>29</v>
      </c>
      <c r="M9" s="31">
        <v>858</v>
      </c>
      <c r="N9" s="43">
        <f t="shared" si="4"/>
        <v>801</v>
      </c>
      <c r="O9" s="47">
        <v>113</v>
      </c>
      <c r="P9" s="43">
        <f t="shared" si="5"/>
        <v>-745</v>
      </c>
      <c r="Q9" s="31">
        <v>37</v>
      </c>
      <c r="R9" s="31">
        <v>-87</v>
      </c>
      <c r="S9" s="43">
        <f t="shared" si="6"/>
        <v>-124</v>
      </c>
      <c r="T9" s="31">
        <v>-866</v>
      </c>
      <c r="U9" s="43">
        <f t="shared" si="7"/>
        <v>-779</v>
      </c>
      <c r="V9" s="31">
        <v>-866</v>
      </c>
      <c r="W9" s="43">
        <f t="shared" si="8"/>
        <v>0</v>
      </c>
    </row>
    <row r="10" spans="2:23" x14ac:dyDescent="0.2">
      <c r="B10" s="42" t="s">
        <v>230</v>
      </c>
      <c r="C10" s="47"/>
      <c r="D10" s="47"/>
      <c r="E10" s="26">
        <f t="shared" si="0"/>
        <v>0</v>
      </c>
      <c r="F10" s="47"/>
      <c r="G10" s="26">
        <f t="shared" si="1"/>
        <v>0</v>
      </c>
      <c r="H10" s="47">
        <v>20</v>
      </c>
      <c r="I10" s="43">
        <f t="shared" si="2"/>
        <v>20</v>
      </c>
      <c r="J10" s="53">
        <v>-177</v>
      </c>
      <c r="K10" s="31">
        <v>765</v>
      </c>
      <c r="L10" s="43">
        <f t="shared" si="3"/>
        <v>942</v>
      </c>
      <c r="M10" s="31">
        <v>85</v>
      </c>
      <c r="N10" s="43">
        <f t="shared" si="4"/>
        <v>-680</v>
      </c>
      <c r="O10" s="47">
        <v>925</v>
      </c>
      <c r="P10" s="43">
        <f t="shared" si="5"/>
        <v>840</v>
      </c>
      <c r="Q10" s="31">
        <v>28</v>
      </c>
      <c r="R10" s="31">
        <v>85</v>
      </c>
      <c r="S10" s="43">
        <f t="shared" si="6"/>
        <v>57</v>
      </c>
      <c r="T10" s="31">
        <v>110</v>
      </c>
      <c r="U10" s="43">
        <f t="shared" si="7"/>
        <v>25</v>
      </c>
      <c r="V10" s="31">
        <v>136</v>
      </c>
      <c r="W10" s="43">
        <f t="shared" si="8"/>
        <v>26</v>
      </c>
    </row>
    <row r="11" spans="2:23" ht="16" x14ac:dyDescent="0.2">
      <c r="B11" s="40" t="s">
        <v>231</v>
      </c>
      <c r="C11" s="45"/>
      <c r="D11" s="46" t="s">
        <v>224</v>
      </c>
      <c r="E11" s="26"/>
      <c r="F11" s="46"/>
      <c r="G11" s="26"/>
      <c r="H11" s="47"/>
      <c r="I11" s="43"/>
      <c r="J11" s="53" t="s">
        <v>224</v>
      </c>
      <c r="K11" s="54" t="s">
        <v>224</v>
      </c>
      <c r="L11" s="43"/>
      <c r="M11" s="54" t="s">
        <v>224</v>
      </c>
      <c r="N11" s="43"/>
      <c r="O11" s="46" t="s">
        <v>224</v>
      </c>
      <c r="P11" s="43"/>
      <c r="Q11" s="54" t="s">
        <v>224</v>
      </c>
      <c r="R11" s="54" t="s">
        <v>224</v>
      </c>
      <c r="S11" s="43"/>
      <c r="T11" s="54" t="s">
        <v>224</v>
      </c>
      <c r="U11" s="43"/>
      <c r="V11" s="54" t="s">
        <v>224</v>
      </c>
      <c r="W11" s="43"/>
    </row>
    <row r="12" spans="2:23" x14ac:dyDescent="0.2">
      <c r="B12" s="42" t="s">
        <v>232</v>
      </c>
      <c r="C12" s="47">
        <v>-16291</v>
      </c>
      <c r="D12" s="47">
        <v>-15936</v>
      </c>
      <c r="E12" s="26">
        <f t="shared" si="0"/>
        <v>355</v>
      </c>
      <c r="F12" s="47">
        <v>-21014</v>
      </c>
      <c r="G12" s="26">
        <f t="shared" si="1"/>
        <v>-5078</v>
      </c>
      <c r="H12" s="47">
        <v>-12150</v>
      </c>
      <c r="I12" s="43">
        <f t="shared" si="2"/>
        <v>8864</v>
      </c>
      <c r="J12" s="53">
        <v>6740</v>
      </c>
      <c r="K12" s="31">
        <v>12595</v>
      </c>
      <c r="L12" s="43">
        <f t="shared" si="3"/>
        <v>5855</v>
      </c>
      <c r="M12" s="31">
        <v>2931</v>
      </c>
      <c r="N12" s="43">
        <f t="shared" si="4"/>
        <v>-9664</v>
      </c>
      <c r="O12" s="47">
        <v>1151</v>
      </c>
      <c r="P12" s="43">
        <f t="shared" si="5"/>
        <v>-1780</v>
      </c>
      <c r="Q12" s="31">
        <v>-1438</v>
      </c>
      <c r="R12" s="31">
        <v>-9821</v>
      </c>
      <c r="S12" s="43">
        <f t="shared" si="6"/>
        <v>-8383</v>
      </c>
      <c r="T12" s="31">
        <v>-4838</v>
      </c>
      <c r="U12" s="43">
        <f t="shared" si="7"/>
        <v>4983</v>
      </c>
      <c r="V12" s="31">
        <v>-1973</v>
      </c>
      <c r="W12" s="43">
        <f t="shared" si="8"/>
        <v>2865</v>
      </c>
    </row>
    <row r="13" spans="2:23" x14ac:dyDescent="0.2">
      <c r="B13" s="42" t="s">
        <v>233</v>
      </c>
      <c r="C13" s="47">
        <v>-141363</v>
      </c>
      <c r="D13" s="47">
        <v>-335968</v>
      </c>
      <c r="E13" s="26">
        <f t="shared" si="0"/>
        <v>-194605</v>
      </c>
      <c r="F13" s="47">
        <v>-312288</v>
      </c>
      <c r="G13" s="26">
        <f t="shared" si="1"/>
        <v>23680</v>
      </c>
      <c r="H13" s="47">
        <v>-283438</v>
      </c>
      <c r="I13" s="43">
        <f t="shared" si="2"/>
        <v>28850</v>
      </c>
      <c r="J13" s="53">
        <v>111189</v>
      </c>
      <c r="K13" s="31">
        <v>128554</v>
      </c>
      <c r="L13" s="43">
        <f t="shared" si="3"/>
        <v>17365</v>
      </c>
      <c r="M13" s="31">
        <v>195590</v>
      </c>
      <c r="N13" s="43">
        <f t="shared" si="4"/>
        <v>67036</v>
      </c>
      <c r="O13" s="47">
        <v>194890</v>
      </c>
      <c r="P13" s="43">
        <f t="shared" si="5"/>
        <v>-700</v>
      </c>
      <c r="Q13" s="31">
        <v>74020</v>
      </c>
      <c r="R13" s="31">
        <v>68866</v>
      </c>
      <c r="S13" s="43">
        <f t="shared" si="6"/>
        <v>-5154</v>
      </c>
      <c r="T13" s="31">
        <v>60143</v>
      </c>
      <c r="U13" s="43">
        <f t="shared" si="7"/>
        <v>-8723</v>
      </c>
      <c r="V13" s="31">
        <v>-26449</v>
      </c>
      <c r="W13" s="43">
        <f t="shared" si="8"/>
        <v>-86592</v>
      </c>
    </row>
    <row r="14" spans="2:23" x14ac:dyDescent="0.2">
      <c r="B14" s="42" t="s">
        <v>154</v>
      </c>
      <c r="C14" s="47">
        <v>27661</v>
      </c>
      <c r="D14" s="47">
        <v>110923</v>
      </c>
      <c r="E14" s="26">
        <f t="shared" si="0"/>
        <v>83262</v>
      </c>
      <c r="F14" s="47">
        <v>-25761</v>
      </c>
      <c r="G14" s="26">
        <f t="shared" si="1"/>
        <v>-136684</v>
      </c>
      <c r="H14" s="47">
        <v>-84732</v>
      </c>
      <c r="I14" s="43">
        <f t="shared" si="2"/>
        <v>-58971</v>
      </c>
      <c r="J14" s="53">
        <v>47176</v>
      </c>
      <c r="K14" s="31">
        <v>84885</v>
      </c>
      <c r="L14" s="43">
        <f t="shared" si="3"/>
        <v>37709</v>
      </c>
      <c r="M14" s="31">
        <v>109338</v>
      </c>
      <c r="N14" s="43">
        <f t="shared" si="4"/>
        <v>24453</v>
      </c>
      <c r="O14" s="47">
        <v>96985</v>
      </c>
      <c r="P14" s="43">
        <f t="shared" si="5"/>
        <v>-12353</v>
      </c>
      <c r="Q14" s="31">
        <v>-35079</v>
      </c>
      <c r="R14" s="31">
        <v>19136</v>
      </c>
      <c r="S14" s="43">
        <f t="shared" si="6"/>
        <v>54215</v>
      </c>
      <c r="T14" s="31">
        <v>60747</v>
      </c>
      <c r="U14" s="43">
        <f t="shared" si="7"/>
        <v>41611</v>
      </c>
      <c r="V14" s="31">
        <v>122338</v>
      </c>
      <c r="W14" s="43">
        <f t="shared" si="8"/>
        <v>61591</v>
      </c>
    </row>
    <row r="15" spans="2:23" x14ac:dyDescent="0.2">
      <c r="B15" s="42" t="s">
        <v>234</v>
      </c>
      <c r="C15" s="47">
        <v>-3969</v>
      </c>
      <c r="D15" s="47">
        <v>26174</v>
      </c>
      <c r="E15" s="26">
        <f t="shared" si="0"/>
        <v>30143</v>
      </c>
      <c r="F15" s="47">
        <v>27796</v>
      </c>
      <c r="G15" s="26">
        <f t="shared" si="1"/>
        <v>1622</v>
      </c>
      <c r="H15" s="47">
        <v>38716</v>
      </c>
      <c r="I15" s="43">
        <f t="shared" si="2"/>
        <v>10920</v>
      </c>
      <c r="J15" s="53">
        <v>-68733</v>
      </c>
      <c r="K15" s="31">
        <v>6579</v>
      </c>
      <c r="L15" s="43">
        <f t="shared" si="3"/>
        <v>75312</v>
      </c>
      <c r="M15" s="31">
        <v>2950</v>
      </c>
      <c r="N15" s="43">
        <f t="shared" si="4"/>
        <v>-3629</v>
      </c>
      <c r="O15" s="47">
        <v>7507</v>
      </c>
      <c r="P15" s="43">
        <f t="shared" si="5"/>
        <v>4557</v>
      </c>
      <c r="Q15" s="31">
        <v>-7905</v>
      </c>
      <c r="R15" s="31">
        <v>18969</v>
      </c>
      <c r="S15" s="43">
        <f t="shared" si="6"/>
        <v>26874</v>
      </c>
      <c r="T15" s="31">
        <v>21939</v>
      </c>
      <c r="U15" s="43">
        <f t="shared" si="7"/>
        <v>2970</v>
      </c>
      <c r="V15" s="31">
        <v>31477</v>
      </c>
      <c r="W15" s="43">
        <f t="shared" si="8"/>
        <v>9538</v>
      </c>
    </row>
    <row r="16" spans="2:23" x14ac:dyDescent="0.2">
      <c r="B16" s="42" t="s">
        <v>235</v>
      </c>
      <c r="C16" s="47">
        <v>19842</v>
      </c>
      <c r="D16" s="47">
        <v>-10681</v>
      </c>
      <c r="E16" s="26">
        <f t="shared" si="0"/>
        <v>-30523</v>
      </c>
      <c r="F16" s="47">
        <v>-6360</v>
      </c>
      <c r="G16" s="26">
        <f t="shared" si="1"/>
        <v>4321</v>
      </c>
      <c r="H16" s="47">
        <v>-8865</v>
      </c>
      <c r="I16" s="43">
        <f t="shared" si="2"/>
        <v>-2505</v>
      </c>
      <c r="J16" s="53">
        <v>25495</v>
      </c>
      <c r="K16" s="31">
        <v>-6755</v>
      </c>
      <c r="L16" s="43">
        <f t="shared" si="3"/>
        <v>-32250</v>
      </c>
      <c r="M16" s="31">
        <v>-8912</v>
      </c>
      <c r="N16" s="43">
        <f t="shared" si="4"/>
        <v>-2157</v>
      </c>
      <c r="O16" s="47">
        <v>-18413</v>
      </c>
      <c r="P16" s="43">
        <f t="shared" si="5"/>
        <v>-9501</v>
      </c>
      <c r="Q16" s="31">
        <v>13186</v>
      </c>
      <c r="R16" s="31">
        <v>24390</v>
      </c>
      <c r="S16" s="43">
        <f t="shared" si="6"/>
        <v>11204</v>
      </c>
      <c r="T16" s="31">
        <v>24840</v>
      </c>
      <c r="U16" s="43">
        <f t="shared" si="7"/>
        <v>450</v>
      </c>
      <c r="V16" s="31">
        <v>5657</v>
      </c>
      <c r="W16" s="43">
        <f t="shared" si="8"/>
        <v>-19183</v>
      </c>
    </row>
    <row r="17" spans="2:23" x14ac:dyDescent="0.2">
      <c r="B17" s="42" t="s">
        <v>156</v>
      </c>
      <c r="C17" s="47">
        <v>7529</v>
      </c>
      <c r="D17" s="47">
        <v>5728</v>
      </c>
      <c r="E17" s="26">
        <f t="shared" si="0"/>
        <v>-1801</v>
      </c>
      <c r="F17" s="47">
        <v>1415</v>
      </c>
      <c r="G17" s="26">
        <f t="shared" si="1"/>
        <v>-4313</v>
      </c>
      <c r="H17" s="47">
        <v>-4432</v>
      </c>
      <c r="I17" s="43">
        <f t="shared" si="2"/>
        <v>-5847</v>
      </c>
      <c r="J17" s="53">
        <v>4358</v>
      </c>
      <c r="K17" s="31">
        <v>4324</v>
      </c>
      <c r="L17" s="43">
        <f t="shared" si="3"/>
        <v>-34</v>
      </c>
      <c r="M17" s="31">
        <v>3323</v>
      </c>
      <c r="N17" s="43">
        <f t="shared" si="4"/>
        <v>-1001</v>
      </c>
      <c r="O17" s="47">
        <v>1217</v>
      </c>
      <c r="P17" s="43">
        <f t="shared" si="5"/>
        <v>-2106</v>
      </c>
      <c r="Q17" s="31">
        <v>2918</v>
      </c>
      <c r="R17" s="31">
        <v>2045</v>
      </c>
      <c r="S17" s="43">
        <f t="shared" si="6"/>
        <v>-873</v>
      </c>
      <c r="T17" s="31">
        <v>1195</v>
      </c>
      <c r="U17" s="43">
        <f t="shared" si="7"/>
        <v>-850</v>
      </c>
      <c r="V17" s="31">
        <v>1886</v>
      </c>
      <c r="W17" s="43">
        <f t="shared" si="8"/>
        <v>691</v>
      </c>
    </row>
    <row r="18" spans="2:23" x14ac:dyDescent="0.2">
      <c r="B18" s="42" t="s">
        <v>236</v>
      </c>
      <c r="C18" s="47">
        <v>-8916</v>
      </c>
      <c r="D18" s="47">
        <v>-12526</v>
      </c>
      <c r="E18" s="26">
        <f t="shared" si="0"/>
        <v>-3610</v>
      </c>
      <c r="F18" s="47">
        <v>-18703</v>
      </c>
      <c r="G18" s="26">
        <f t="shared" si="1"/>
        <v>-6177</v>
      </c>
      <c r="H18" s="47">
        <v>-13288</v>
      </c>
      <c r="I18" s="43">
        <f t="shared" si="2"/>
        <v>5415</v>
      </c>
      <c r="J18" s="53">
        <v>5364</v>
      </c>
      <c r="K18" s="31">
        <v>3283</v>
      </c>
      <c r="L18" s="43">
        <f t="shared" si="3"/>
        <v>-2081</v>
      </c>
      <c r="M18" s="31">
        <v>9348</v>
      </c>
      <c r="N18" s="43">
        <f t="shared" si="4"/>
        <v>6065</v>
      </c>
      <c r="O18" s="47">
        <v>17794</v>
      </c>
      <c r="P18" s="43">
        <f t="shared" si="5"/>
        <v>8446</v>
      </c>
      <c r="Q18" s="31">
        <v>-4990</v>
      </c>
      <c r="R18" s="31">
        <v>-6936</v>
      </c>
      <c r="S18" s="43">
        <f t="shared" si="6"/>
        <v>-1946</v>
      </c>
      <c r="T18" s="31">
        <v>-3896</v>
      </c>
      <c r="U18" s="43">
        <f t="shared" si="7"/>
        <v>3040</v>
      </c>
      <c r="V18" s="31">
        <v>-1387</v>
      </c>
      <c r="W18" s="43">
        <f t="shared" si="8"/>
        <v>2509</v>
      </c>
    </row>
    <row r="19" spans="2:23" x14ac:dyDescent="0.2">
      <c r="B19" s="42" t="s">
        <v>237</v>
      </c>
      <c r="C19" s="47">
        <v>-3333</v>
      </c>
      <c r="D19" s="47">
        <v>7853</v>
      </c>
      <c r="E19" s="26">
        <f t="shared" si="0"/>
        <v>11186</v>
      </c>
      <c r="F19" s="47">
        <v>7325</v>
      </c>
      <c r="G19" s="26">
        <f t="shared" si="1"/>
        <v>-528</v>
      </c>
      <c r="H19" s="47">
        <v>112450</v>
      </c>
      <c r="I19" s="43">
        <f t="shared" si="2"/>
        <v>105125</v>
      </c>
      <c r="J19" s="53">
        <v>250280</v>
      </c>
      <c r="K19" s="31">
        <v>476645</v>
      </c>
      <c r="L19" s="43">
        <f t="shared" si="3"/>
        <v>226365</v>
      </c>
      <c r="M19" s="31">
        <v>698975</v>
      </c>
      <c r="N19" s="43">
        <f t="shared" si="4"/>
        <v>222330</v>
      </c>
      <c r="O19" s="47">
        <v>803589</v>
      </c>
      <c r="P19" s="43">
        <f t="shared" si="5"/>
        <v>104614</v>
      </c>
      <c r="Q19" s="31">
        <v>147510</v>
      </c>
      <c r="R19" s="31">
        <v>341480</v>
      </c>
      <c r="S19" s="43">
        <f t="shared" si="6"/>
        <v>193970</v>
      </c>
      <c r="T19" s="31">
        <v>501768</v>
      </c>
      <c r="U19" s="43">
        <f t="shared" si="7"/>
        <v>160288</v>
      </c>
      <c r="V19" s="31">
        <v>603155</v>
      </c>
      <c r="W19" s="43">
        <f t="shared" si="8"/>
        <v>101387</v>
      </c>
    </row>
    <row r="20" spans="2:23" ht="16" x14ac:dyDescent="0.2">
      <c r="B20" s="40" t="s">
        <v>238</v>
      </c>
      <c r="C20" s="45"/>
      <c r="D20" s="46" t="s">
        <v>224</v>
      </c>
      <c r="E20" s="26"/>
      <c r="F20" s="46"/>
      <c r="G20" s="26"/>
      <c r="H20" s="46"/>
      <c r="I20" s="43"/>
      <c r="J20" s="53" t="s">
        <v>224</v>
      </c>
      <c r="K20" s="54" t="s">
        <v>224</v>
      </c>
      <c r="L20" s="43"/>
      <c r="M20" s="54" t="s">
        <v>224</v>
      </c>
      <c r="N20" s="43"/>
      <c r="O20" s="46" t="s">
        <v>224</v>
      </c>
      <c r="P20" s="43"/>
      <c r="Q20" s="54" t="s">
        <v>224</v>
      </c>
      <c r="R20" s="54" t="s">
        <v>224</v>
      </c>
      <c r="S20" s="43"/>
      <c r="T20" s="54" t="s">
        <v>224</v>
      </c>
      <c r="U20" s="43"/>
      <c r="V20" s="54" t="s">
        <v>224</v>
      </c>
      <c r="W20" s="43"/>
    </row>
    <row r="21" spans="2:23" x14ac:dyDescent="0.2">
      <c r="B21" s="42" t="s">
        <v>239</v>
      </c>
      <c r="C21" s="47">
        <v>-100904</v>
      </c>
      <c r="D21" s="47">
        <v>-214283</v>
      </c>
      <c r="E21" s="26">
        <f t="shared" si="0"/>
        <v>-113379</v>
      </c>
      <c r="F21" s="47">
        <v>-322825</v>
      </c>
      <c r="G21" s="26">
        <f t="shared" si="1"/>
        <v>-108542</v>
      </c>
      <c r="H21" s="47">
        <v>-456600</v>
      </c>
      <c r="I21" s="43">
        <f t="shared" si="2"/>
        <v>-133775</v>
      </c>
      <c r="J21" s="53">
        <v>-139398</v>
      </c>
      <c r="K21" s="31">
        <v>-279175</v>
      </c>
      <c r="L21" s="43">
        <f t="shared" si="3"/>
        <v>-139777</v>
      </c>
      <c r="M21" s="31">
        <v>-413717</v>
      </c>
      <c r="N21" s="43">
        <f t="shared" si="4"/>
        <v>-134542</v>
      </c>
      <c r="O21" s="47">
        <v>-547613</v>
      </c>
      <c r="P21" s="43">
        <f t="shared" si="5"/>
        <v>-133896</v>
      </c>
      <c r="Q21" s="31">
        <v>-111688</v>
      </c>
      <c r="R21" s="31">
        <v>-225614</v>
      </c>
      <c r="S21" s="43">
        <f t="shared" si="6"/>
        <v>-113926</v>
      </c>
      <c r="T21" s="31">
        <v>-349360</v>
      </c>
      <c r="U21" s="43">
        <f t="shared" si="7"/>
        <v>-123746</v>
      </c>
      <c r="V21" s="31">
        <v>-446826</v>
      </c>
      <c r="W21" s="43">
        <f t="shared" si="8"/>
        <v>-97466</v>
      </c>
    </row>
    <row r="22" spans="2:23" x14ac:dyDescent="0.2">
      <c r="B22" s="42" t="s">
        <v>240</v>
      </c>
      <c r="C22" s="47">
        <v>-490</v>
      </c>
      <c r="D22" s="47">
        <v>-1121</v>
      </c>
      <c r="E22" s="26">
        <f t="shared" si="0"/>
        <v>-631</v>
      </c>
      <c r="F22" s="47">
        <v>-1121</v>
      </c>
      <c r="G22" s="26">
        <f t="shared" si="1"/>
        <v>0</v>
      </c>
      <c r="H22" s="47">
        <v>-3810</v>
      </c>
      <c r="I22" s="43">
        <f t="shared" si="2"/>
        <v>-2689</v>
      </c>
      <c r="J22" s="53">
        <v>0</v>
      </c>
      <c r="K22" s="31">
        <v>-17156</v>
      </c>
      <c r="L22" s="43">
        <f t="shared" si="3"/>
        <v>-17156</v>
      </c>
      <c r="M22" s="31">
        <v>-17353</v>
      </c>
      <c r="N22" s="43">
        <f t="shared" si="4"/>
        <v>-197</v>
      </c>
      <c r="O22" s="47">
        <v>-17353</v>
      </c>
      <c r="P22" s="43">
        <f t="shared" si="5"/>
        <v>0</v>
      </c>
      <c r="Q22" s="32"/>
      <c r="R22" s="31">
        <v>0</v>
      </c>
      <c r="S22" s="43">
        <f t="shared" si="6"/>
        <v>0</v>
      </c>
      <c r="T22" s="31">
        <v>0</v>
      </c>
      <c r="U22" s="43">
        <f t="shared" si="7"/>
        <v>0</v>
      </c>
      <c r="V22" s="31">
        <v>0</v>
      </c>
      <c r="W22" s="43">
        <f t="shared" si="8"/>
        <v>0</v>
      </c>
    </row>
    <row r="23" spans="2:23" x14ac:dyDescent="0.2">
      <c r="B23" s="42" t="s">
        <v>241</v>
      </c>
      <c r="C23" s="47"/>
      <c r="D23" s="47">
        <v>4773</v>
      </c>
      <c r="E23" s="26">
        <f t="shared" si="0"/>
        <v>4773</v>
      </c>
      <c r="F23" s="47">
        <v>4773</v>
      </c>
      <c r="G23" s="26">
        <f t="shared" si="1"/>
        <v>0</v>
      </c>
      <c r="H23" s="47">
        <v>4773</v>
      </c>
      <c r="I23" s="43">
        <f t="shared" si="2"/>
        <v>0</v>
      </c>
      <c r="J23" s="53"/>
      <c r="K23" s="31">
        <v>0</v>
      </c>
      <c r="L23" s="43">
        <f t="shared" si="3"/>
        <v>0</v>
      </c>
      <c r="M23" s="31">
        <v>0</v>
      </c>
      <c r="N23" s="43">
        <f t="shared" si="4"/>
        <v>0</v>
      </c>
      <c r="O23" s="47">
        <v>0</v>
      </c>
      <c r="P23" s="43">
        <f t="shared" si="5"/>
        <v>0</v>
      </c>
      <c r="Q23" s="32"/>
      <c r="R23" s="32"/>
      <c r="S23" s="43">
        <f t="shared" si="6"/>
        <v>0</v>
      </c>
      <c r="T23" s="32"/>
      <c r="U23" s="43">
        <f t="shared" si="7"/>
        <v>0</v>
      </c>
      <c r="V23" s="31">
        <v>0</v>
      </c>
      <c r="W23" s="43">
        <f t="shared" si="8"/>
        <v>0</v>
      </c>
    </row>
    <row r="24" spans="2:23" x14ac:dyDescent="0.2">
      <c r="B24" s="42" t="s">
        <v>242</v>
      </c>
      <c r="C24" s="47">
        <v>-101394</v>
      </c>
      <c r="D24" s="47">
        <v>-210631</v>
      </c>
      <c r="E24" s="26">
        <f t="shared" si="0"/>
        <v>-109237</v>
      </c>
      <c r="F24" s="47">
        <v>-319173</v>
      </c>
      <c r="G24" s="26">
        <f t="shared" si="1"/>
        <v>-108542</v>
      </c>
      <c r="H24" s="47">
        <v>-455637</v>
      </c>
      <c r="I24" s="43">
        <f t="shared" si="2"/>
        <v>-136464</v>
      </c>
      <c r="J24" s="53">
        <v>-139398</v>
      </c>
      <c r="K24" s="31">
        <v>-296331</v>
      </c>
      <c r="L24" s="43">
        <f t="shared" si="3"/>
        <v>-156933</v>
      </c>
      <c r="M24" s="31">
        <v>-431070</v>
      </c>
      <c r="N24" s="43">
        <f t="shared" si="4"/>
        <v>-134739</v>
      </c>
      <c r="O24" s="47">
        <v>-564966</v>
      </c>
      <c r="P24" s="43">
        <f t="shared" si="5"/>
        <v>-133896</v>
      </c>
      <c r="Q24" s="31">
        <v>-111688</v>
      </c>
      <c r="R24" s="31">
        <v>-225614</v>
      </c>
      <c r="S24" s="43">
        <f t="shared" si="6"/>
        <v>-113926</v>
      </c>
      <c r="T24" s="31">
        <v>-349360</v>
      </c>
      <c r="U24" s="43">
        <f t="shared" si="7"/>
        <v>-123746</v>
      </c>
      <c r="V24" s="31">
        <v>-446826</v>
      </c>
      <c r="W24" s="43">
        <f t="shared" si="8"/>
        <v>-97466</v>
      </c>
    </row>
    <row r="25" spans="2:23" ht="16" x14ac:dyDescent="0.2">
      <c r="B25" s="40" t="s">
        <v>243</v>
      </c>
      <c r="C25" s="45"/>
      <c r="D25" s="46" t="s">
        <v>224</v>
      </c>
      <c r="E25" s="26"/>
      <c r="F25" s="46"/>
      <c r="G25" s="26"/>
      <c r="H25" s="46"/>
      <c r="I25" s="43"/>
      <c r="J25" s="53" t="s">
        <v>224</v>
      </c>
      <c r="K25" s="54" t="s">
        <v>224</v>
      </c>
      <c r="L25" s="43"/>
      <c r="M25" s="54" t="s">
        <v>224</v>
      </c>
      <c r="N25" s="43"/>
      <c r="O25" s="46" t="s">
        <v>224</v>
      </c>
      <c r="P25" s="43"/>
      <c r="Q25" s="54" t="s">
        <v>224</v>
      </c>
      <c r="R25" s="54" t="s">
        <v>224</v>
      </c>
      <c r="S25" s="43"/>
      <c r="T25" s="54" t="s">
        <v>224</v>
      </c>
      <c r="U25" s="43"/>
      <c r="V25" s="54" t="s">
        <v>224</v>
      </c>
      <c r="W25" s="43"/>
    </row>
    <row r="26" spans="2:23" x14ac:dyDescent="0.2">
      <c r="B26" s="42" t="s">
        <v>244</v>
      </c>
      <c r="C26" s="45"/>
      <c r="D26" s="47">
        <v>336800</v>
      </c>
      <c r="E26" s="26">
        <f t="shared" si="0"/>
        <v>336800</v>
      </c>
      <c r="F26" s="47">
        <v>663200</v>
      </c>
      <c r="G26" s="26">
        <f t="shared" si="1"/>
        <v>326400</v>
      </c>
      <c r="H26" s="47">
        <v>1047100</v>
      </c>
      <c r="I26" s="43">
        <f t="shared" si="2"/>
        <v>383900</v>
      </c>
      <c r="J26" s="53">
        <v>215400</v>
      </c>
      <c r="K26" s="31">
        <v>384200</v>
      </c>
      <c r="L26" s="43">
        <f t="shared" si="3"/>
        <v>168800</v>
      </c>
      <c r="M26" s="31">
        <v>518900</v>
      </c>
      <c r="N26" s="43">
        <f t="shared" si="4"/>
        <v>134700</v>
      </c>
      <c r="O26" s="47">
        <v>518900</v>
      </c>
      <c r="P26" s="43">
        <f t="shared" si="5"/>
        <v>0</v>
      </c>
      <c r="Q26" s="31">
        <v>258600</v>
      </c>
      <c r="R26" s="31">
        <v>258600</v>
      </c>
      <c r="S26" s="43">
        <f t="shared" si="6"/>
        <v>0</v>
      </c>
      <c r="T26" s="31">
        <v>258600</v>
      </c>
      <c r="U26" s="43">
        <f t="shared" si="7"/>
        <v>0</v>
      </c>
      <c r="V26" s="31">
        <v>258600</v>
      </c>
      <c r="W26" s="43">
        <f t="shared" si="8"/>
        <v>0</v>
      </c>
    </row>
    <row r="27" spans="2:23" x14ac:dyDescent="0.2">
      <c r="B27" s="42" t="s">
        <v>245</v>
      </c>
      <c r="C27" s="45"/>
      <c r="D27" s="47">
        <v>-268200</v>
      </c>
      <c r="E27" s="26">
        <f t="shared" si="0"/>
        <v>-268200</v>
      </c>
      <c r="F27" s="47">
        <v>-486800</v>
      </c>
      <c r="G27" s="26">
        <f t="shared" si="1"/>
        <v>-218600</v>
      </c>
      <c r="H27" s="47">
        <v>-836900</v>
      </c>
      <c r="I27" s="43">
        <f t="shared" si="2"/>
        <v>-350100</v>
      </c>
      <c r="J27" s="53">
        <v>-319100</v>
      </c>
      <c r="K27" s="31">
        <v>-559400</v>
      </c>
      <c r="L27" s="43">
        <f t="shared" si="3"/>
        <v>-240300</v>
      </c>
      <c r="M27" s="31">
        <v>-729100</v>
      </c>
      <c r="N27" s="43">
        <f t="shared" si="4"/>
        <v>-169700</v>
      </c>
      <c r="O27" s="47">
        <v>-729100</v>
      </c>
      <c r="P27" s="43">
        <f t="shared" si="5"/>
        <v>0</v>
      </c>
      <c r="Q27" s="31">
        <v>-258600</v>
      </c>
      <c r="R27" s="31">
        <v>-258600</v>
      </c>
      <c r="S27" s="43">
        <f t="shared" si="6"/>
        <v>0</v>
      </c>
      <c r="T27" s="31">
        <v>-258600</v>
      </c>
      <c r="U27" s="43">
        <f t="shared" si="7"/>
        <v>0</v>
      </c>
      <c r="V27" s="31">
        <v>-258600</v>
      </c>
      <c r="W27" s="43">
        <f t="shared" si="8"/>
        <v>0</v>
      </c>
    </row>
    <row r="28" spans="2:23" x14ac:dyDescent="0.2">
      <c r="B28" s="42" t="s">
        <v>246</v>
      </c>
      <c r="C28" s="47">
        <v>0</v>
      </c>
      <c r="D28" s="47">
        <v>0</v>
      </c>
      <c r="E28" s="26">
        <f t="shared" si="0"/>
        <v>0</v>
      </c>
      <c r="F28" s="47">
        <v>0</v>
      </c>
      <c r="G28" s="26">
        <f t="shared" si="1"/>
        <v>0</v>
      </c>
      <c r="H28" s="47">
        <v>0</v>
      </c>
      <c r="I28" s="43">
        <f t="shared" si="2"/>
        <v>0</v>
      </c>
      <c r="J28" s="53"/>
      <c r="K28" s="32"/>
      <c r="L28" s="43">
        <f t="shared" si="3"/>
        <v>0</v>
      </c>
      <c r="M28" s="32"/>
      <c r="N28" s="43">
        <f t="shared" si="4"/>
        <v>0</v>
      </c>
      <c r="O28" s="47">
        <v>0</v>
      </c>
      <c r="P28" s="43">
        <f t="shared" si="5"/>
        <v>0</v>
      </c>
      <c r="Q28" s="32"/>
      <c r="R28" s="32"/>
      <c r="S28" s="43">
        <f t="shared" si="6"/>
        <v>0</v>
      </c>
      <c r="T28" s="32"/>
      <c r="U28" s="43">
        <f t="shared" si="7"/>
        <v>0</v>
      </c>
      <c r="V28" s="32"/>
      <c r="W28" s="43">
        <f t="shared" si="8"/>
        <v>0</v>
      </c>
    </row>
    <row r="29" spans="2:23" x14ac:dyDescent="0.2">
      <c r="B29" s="42" t="s">
        <v>247</v>
      </c>
      <c r="C29" s="47">
        <v>-1051</v>
      </c>
      <c r="D29" s="47">
        <v>-1577</v>
      </c>
      <c r="E29" s="26">
        <f t="shared" si="0"/>
        <v>-526</v>
      </c>
      <c r="F29" s="47">
        <v>-1577</v>
      </c>
      <c r="G29" s="26">
        <f t="shared" si="1"/>
        <v>0</v>
      </c>
      <c r="H29" s="47">
        <v>-2103</v>
      </c>
      <c r="I29" s="43">
        <f t="shared" si="2"/>
        <v>-526</v>
      </c>
      <c r="J29" s="53">
        <v>-526</v>
      </c>
      <c r="K29" s="31">
        <v>-1051</v>
      </c>
      <c r="L29" s="43">
        <f t="shared" si="3"/>
        <v>-525</v>
      </c>
      <c r="M29" s="31">
        <v>-1577</v>
      </c>
      <c r="N29" s="43">
        <f t="shared" si="4"/>
        <v>-526</v>
      </c>
      <c r="O29" s="47">
        <v>-2103</v>
      </c>
      <c r="P29" s="43">
        <f t="shared" si="5"/>
        <v>-526</v>
      </c>
      <c r="Q29" s="31">
        <v>-526</v>
      </c>
      <c r="R29" s="31">
        <v>-1051</v>
      </c>
      <c r="S29" s="43">
        <f t="shared" si="6"/>
        <v>-525</v>
      </c>
      <c r="T29" s="31">
        <v>-1577</v>
      </c>
      <c r="U29" s="43">
        <f t="shared" si="7"/>
        <v>-526</v>
      </c>
      <c r="V29" s="31">
        <v>-2103</v>
      </c>
      <c r="W29" s="43">
        <f t="shared" si="8"/>
        <v>-526</v>
      </c>
    </row>
    <row r="30" spans="2:23" x14ac:dyDescent="0.2">
      <c r="B30" s="42" t="s">
        <v>248</v>
      </c>
      <c r="C30" s="47">
        <v>-2571</v>
      </c>
      <c r="D30" s="47">
        <v>-2571</v>
      </c>
      <c r="E30" s="26">
        <f t="shared" si="0"/>
        <v>0</v>
      </c>
      <c r="F30" s="47">
        <v>-2571</v>
      </c>
      <c r="G30" s="26">
        <f t="shared" si="1"/>
        <v>0</v>
      </c>
      <c r="H30" s="47">
        <v>-2571</v>
      </c>
      <c r="I30" s="43">
        <f t="shared" si="2"/>
        <v>0</v>
      </c>
      <c r="J30" s="53">
        <v>-5241</v>
      </c>
      <c r="K30" s="31">
        <v>-5241</v>
      </c>
      <c r="L30" s="43">
        <f t="shared" si="3"/>
        <v>0</v>
      </c>
      <c r="M30" s="31">
        <v>-5241</v>
      </c>
      <c r="N30" s="43">
        <f t="shared" si="4"/>
        <v>0</v>
      </c>
      <c r="O30" s="47">
        <v>-5241</v>
      </c>
      <c r="P30" s="43">
        <f t="shared" si="5"/>
        <v>0</v>
      </c>
      <c r="Q30" s="31">
        <v>-5769</v>
      </c>
      <c r="R30" s="31">
        <v>-5769</v>
      </c>
      <c r="S30" s="43">
        <f t="shared" si="6"/>
        <v>0</v>
      </c>
      <c r="T30" s="31">
        <v>-2002</v>
      </c>
      <c r="U30" s="43">
        <f t="shared" si="7"/>
        <v>3767</v>
      </c>
      <c r="V30" s="31">
        <v>-2002</v>
      </c>
      <c r="W30" s="43">
        <f t="shared" si="8"/>
        <v>0</v>
      </c>
    </row>
    <row r="31" spans="2:23" x14ac:dyDescent="0.2">
      <c r="B31" s="42" t="s">
        <v>249</v>
      </c>
      <c r="C31" s="47">
        <v>577</v>
      </c>
      <c r="D31" s="47">
        <v>5176</v>
      </c>
      <c r="E31" s="26">
        <f t="shared" si="0"/>
        <v>4599</v>
      </c>
      <c r="F31" s="47">
        <v>7100</v>
      </c>
      <c r="G31" s="26">
        <f t="shared" si="1"/>
        <v>1924</v>
      </c>
      <c r="H31" s="47">
        <v>7592</v>
      </c>
      <c r="I31" s="43">
        <f t="shared" si="2"/>
        <v>492</v>
      </c>
      <c r="J31" s="53">
        <v>2130</v>
      </c>
      <c r="K31" s="31">
        <v>4858</v>
      </c>
      <c r="L31" s="43">
        <f t="shared" si="3"/>
        <v>2728</v>
      </c>
      <c r="M31" s="31">
        <v>7909</v>
      </c>
      <c r="N31" s="43">
        <f t="shared" si="4"/>
        <v>3051</v>
      </c>
      <c r="O31" s="47">
        <v>10960</v>
      </c>
      <c r="P31" s="43">
        <f t="shared" si="5"/>
        <v>3051</v>
      </c>
      <c r="Q31" s="31">
        <v>3854</v>
      </c>
      <c r="R31" s="31">
        <v>5442</v>
      </c>
      <c r="S31" s="43">
        <f t="shared" si="6"/>
        <v>1588</v>
      </c>
      <c r="T31" s="31">
        <v>6211</v>
      </c>
      <c r="U31" s="43">
        <f t="shared" si="7"/>
        <v>769</v>
      </c>
      <c r="V31" s="31">
        <v>10115</v>
      </c>
      <c r="W31" s="43">
        <f t="shared" si="8"/>
        <v>3904</v>
      </c>
    </row>
    <row r="32" spans="2:23" x14ac:dyDescent="0.2">
      <c r="B32" s="42" t="s">
        <v>250</v>
      </c>
      <c r="C32" s="47">
        <v>1963</v>
      </c>
      <c r="D32" s="47">
        <v>1963</v>
      </c>
      <c r="E32" s="26">
        <f t="shared" si="0"/>
        <v>0</v>
      </c>
      <c r="F32" s="47">
        <v>4379</v>
      </c>
      <c r="G32" s="26">
        <f t="shared" si="1"/>
        <v>2416</v>
      </c>
      <c r="H32" s="47">
        <v>4379</v>
      </c>
      <c r="I32" s="43">
        <f t="shared" si="2"/>
        <v>0</v>
      </c>
      <c r="J32" s="53">
        <v>2558</v>
      </c>
      <c r="K32" s="31">
        <v>2558</v>
      </c>
      <c r="L32" s="43">
        <f t="shared" si="3"/>
        <v>0</v>
      </c>
      <c r="M32" s="31">
        <v>5159</v>
      </c>
      <c r="N32" s="43">
        <f t="shared" si="4"/>
        <v>2601</v>
      </c>
      <c r="O32" s="47">
        <v>5159</v>
      </c>
      <c r="P32" s="43">
        <f t="shared" si="5"/>
        <v>0</v>
      </c>
      <c r="Q32" s="31">
        <v>2720</v>
      </c>
      <c r="R32" s="31">
        <v>2720</v>
      </c>
      <c r="S32" s="43">
        <f t="shared" si="6"/>
        <v>0</v>
      </c>
      <c r="T32" s="31">
        <v>5459</v>
      </c>
      <c r="U32" s="43">
        <f t="shared" si="7"/>
        <v>2739</v>
      </c>
      <c r="V32" s="31">
        <v>5459</v>
      </c>
      <c r="W32" s="43">
        <f t="shared" si="8"/>
        <v>0</v>
      </c>
    </row>
    <row r="33" spans="2:23" x14ac:dyDescent="0.2">
      <c r="B33" s="42" t="s">
        <v>251</v>
      </c>
      <c r="C33" s="47">
        <v>0</v>
      </c>
      <c r="D33" s="47">
        <v>0</v>
      </c>
      <c r="E33" s="26">
        <f t="shared" si="0"/>
        <v>0</v>
      </c>
      <c r="F33" s="47">
        <v>-1505</v>
      </c>
      <c r="G33" s="26">
        <f t="shared" si="1"/>
        <v>-1505</v>
      </c>
      <c r="H33" s="47">
        <v>-1736</v>
      </c>
      <c r="I33" s="43">
        <f t="shared" si="2"/>
        <v>-231</v>
      </c>
      <c r="J33" s="53"/>
      <c r="K33" s="32"/>
      <c r="L33" s="43">
        <f t="shared" si="3"/>
        <v>0</v>
      </c>
      <c r="M33" s="31">
        <v>0</v>
      </c>
      <c r="N33" s="43">
        <f t="shared" si="4"/>
        <v>0</v>
      </c>
      <c r="O33" s="47">
        <v>0</v>
      </c>
      <c r="P33" s="43">
        <f t="shared" si="5"/>
        <v>0</v>
      </c>
      <c r="Q33" s="32"/>
      <c r="R33" s="32"/>
      <c r="S33" s="43">
        <f t="shared" si="6"/>
        <v>0</v>
      </c>
      <c r="T33" s="32"/>
      <c r="U33" s="43">
        <f t="shared" si="7"/>
        <v>0</v>
      </c>
      <c r="V33" s="31">
        <v>0</v>
      </c>
      <c r="W33" s="43">
        <f t="shared" si="8"/>
        <v>0</v>
      </c>
    </row>
    <row r="34" spans="2:23" x14ac:dyDescent="0.2">
      <c r="B34" s="42" t="s">
        <v>252</v>
      </c>
      <c r="C34" s="47">
        <v>-1807</v>
      </c>
      <c r="D34" s="47">
        <v>-2080</v>
      </c>
      <c r="E34" s="26">
        <f t="shared" si="0"/>
        <v>-273</v>
      </c>
      <c r="F34" s="47">
        <v>-2135</v>
      </c>
      <c r="G34" s="26">
        <f t="shared" si="1"/>
        <v>-55</v>
      </c>
      <c r="H34" s="47">
        <v>-2224</v>
      </c>
      <c r="I34" s="43">
        <f t="shared" si="2"/>
        <v>-89</v>
      </c>
      <c r="J34" s="53">
        <v>-10863</v>
      </c>
      <c r="K34" s="31">
        <v>-11861</v>
      </c>
      <c r="L34" s="43">
        <f t="shared" si="3"/>
        <v>-998</v>
      </c>
      <c r="M34" s="31">
        <v>-12121</v>
      </c>
      <c r="N34" s="43">
        <f t="shared" si="4"/>
        <v>-260</v>
      </c>
      <c r="O34" s="47">
        <v>-12610</v>
      </c>
      <c r="P34" s="43">
        <f t="shared" si="5"/>
        <v>-489</v>
      </c>
      <c r="Q34" s="31">
        <v>-13057</v>
      </c>
      <c r="R34" s="31">
        <v>-13527</v>
      </c>
      <c r="S34" s="43">
        <f t="shared" si="6"/>
        <v>-470</v>
      </c>
      <c r="T34" s="31">
        <v>-14110</v>
      </c>
      <c r="U34" s="43">
        <f t="shared" si="7"/>
        <v>-583</v>
      </c>
      <c r="V34" s="31">
        <v>-14511</v>
      </c>
      <c r="W34" s="43">
        <f t="shared" si="8"/>
        <v>-401</v>
      </c>
    </row>
    <row r="35" spans="2:23" x14ac:dyDescent="0.2">
      <c r="B35" s="42" t="s">
        <v>253</v>
      </c>
      <c r="C35" s="47">
        <v>-2889</v>
      </c>
      <c r="D35" s="47">
        <v>69511</v>
      </c>
      <c r="E35" s="26">
        <f t="shared" si="0"/>
        <v>72400</v>
      </c>
      <c r="F35" s="47">
        <v>180091</v>
      </c>
      <c r="G35" s="26">
        <f t="shared" si="1"/>
        <v>110580</v>
      </c>
      <c r="H35" s="47">
        <v>213537</v>
      </c>
      <c r="I35" s="43">
        <f t="shared" si="2"/>
        <v>33446</v>
      </c>
      <c r="J35" s="53">
        <v>-115642</v>
      </c>
      <c r="K35" s="31">
        <v>-185937</v>
      </c>
      <c r="L35" s="43">
        <f t="shared" si="3"/>
        <v>-70295</v>
      </c>
      <c r="M35" s="31">
        <v>-216071</v>
      </c>
      <c r="N35" s="43">
        <f t="shared" si="4"/>
        <v>-30134</v>
      </c>
      <c r="O35" s="47">
        <v>-214035</v>
      </c>
      <c r="P35" s="43">
        <f t="shared" si="5"/>
        <v>2036</v>
      </c>
      <c r="Q35" s="31">
        <v>-12778</v>
      </c>
      <c r="R35" s="31">
        <v>-12185</v>
      </c>
      <c r="S35" s="43">
        <f t="shared" si="6"/>
        <v>593</v>
      </c>
      <c r="T35" s="31">
        <v>-6019</v>
      </c>
      <c r="U35" s="43">
        <f t="shared" si="7"/>
        <v>6166</v>
      </c>
      <c r="V35" s="31">
        <v>-3042</v>
      </c>
      <c r="W35" s="43">
        <f t="shared" si="8"/>
        <v>2977</v>
      </c>
    </row>
    <row r="36" spans="2:23" x14ac:dyDescent="0.2">
      <c r="B36" s="42" t="s">
        <v>254</v>
      </c>
      <c r="C36" s="47">
        <v>-107616</v>
      </c>
      <c r="D36" s="47">
        <v>-133267</v>
      </c>
      <c r="E36" s="26">
        <f t="shared" si="0"/>
        <v>-25651</v>
      </c>
      <c r="F36" s="47">
        <v>-131757</v>
      </c>
      <c r="G36" s="26">
        <f t="shared" si="1"/>
        <v>1510</v>
      </c>
      <c r="H36" s="47">
        <v>-129650</v>
      </c>
      <c r="I36" s="43">
        <f t="shared" si="2"/>
        <v>2107</v>
      </c>
      <c r="J36" s="53">
        <v>-4760</v>
      </c>
      <c r="K36" s="31">
        <v>-5623</v>
      </c>
      <c r="L36" s="43">
        <f t="shared" si="3"/>
        <v>-863</v>
      </c>
      <c r="M36" s="31">
        <v>51834</v>
      </c>
      <c r="N36" s="43">
        <f t="shared" si="4"/>
        <v>57457</v>
      </c>
      <c r="O36" s="47">
        <v>24588</v>
      </c>
      <c r="P36" s="43">
        <f t="shared" si="5"/>
        <v>-27246</v>
      </c>
      <c r="Q36" s="31">
        <v>23044</v>
      </c>
      <c r="R36" s="31">
        <v>103681</v>
      </c>
      <c r="S36" s="43">
        <f t="shared" si="6"/>
        <v>80637</v>
      </c>
      <c r="T36" s="31">
        <v>146389</v>
      </c>
      <c r="U36" s="43">
        <f t="shared" si="7"/>
        <v>42708</v>
      </c>
      <c r="V36" s="31">
        <v>153287</v>
      </c>
      <c r="W36" s="43">
        <f t="shared" si="8"/>
        <v>6898</v>
      </c>
    </row>
    <row r="37" spans="2:23" x14ac:dyDescent="0.2">
      <c r="B37" s="42" t="s">
        <v>255</v>
      </c>
      <c r="C37" s="47">
        <v>139444</v>
      </c>
      <c r="D37" s="47">
        <v>139444</v>
      </c>
      <c r="E37" s="26">
        <f t="shared" si="0"/>
        <v>0</v>
      </c>
      <c r="F37" s="47">
        <v>139444</v>
      </c>
      <c r="G37" s="26">
        <f t="shared" si="1"/>
        <v>0</v>
      </c>
      <c r="H37" s="47">
        <v>139444</v>
      </c>
      <c r="I37" s="43">
        <f t="shared" si="2"/>
        <v>0</v>
      </c>
      <c r="J37" s="53">
        <v>9794</v>
      </c>
      <c r="K37" s="31">
        <v>9794</v>
      </c>
      <c r="L37" s="43">
        <f t="shared" si="3"/>
        <v>0</v>
      </c>
      <c r="M37" s="31">
        <v>9794</v>
      </c>
      <c r="N37" s="43">
        <f t="shared" si="4"/>
        <v>0</v>
      </c>
      <c r="O37" s="47">
        <v>9794</v>
      </c>
      <c r="P37" s="43">
        <f t="shared" si="5"/>
        <v>0</v>
      </c>
      <c r="Q37" s="31">
        <v>34382</v>
      </c>
      <c r="R37" s="31">
        <v>34382</v>
      </c>
      <c r="S37" s="43">
        <f t="shared" si="6"/>
        <v>0</v>
      </c>
      <c r="T37" s="31">
        <v>34382</v>
      </c>
      <c r="U37" s="43">
        <f t="shared" si="7"/>
        <v>0</v>
      </c>
      <c r="V37" s="31">
        <v>34382</v>
      </c>
      <c r="W37" s="43">
        <f t="shared" si="8"/>
        <v>0</v>
      </c>
    </row>
    <row r="38" spans="2:23" x14ac:dyDescent="0.2">
      <c r="B38" s="42" t="s">
        <v>256</v>
      </c>
      <c r="C38" s="47">
        <v>31828</v>
      </c>
      <c r="D38" s="47">
        <v>6177</v>
      </c>
      <c r="E38" s="26">
        <f t="shared" si="0"/>
        <v>-25651</v>
      </c>
      <c r="F38" s="47">
        <v>7687</v>
      </c>
      <c r="G38" s="26">
        <f t="shared" si="1"/>
        <v>1510</v>
      </c>
      <c r="H38" s="47">
        <v>9794</v>
      </c>
      <c r="I38" s="43">
        <f t="shared" si="2"/>
        <v>2107</v>
      </c>
      <c r="J38" s="53">
        <v>5034</v>
      </c>
      <c r="K38" s="31">
        <v>4171</v>
      </c>
      <c r="L38" s="43">
        <f t="shared" si="3"/>
        <v>-863</v>
      </c>
      <c r="M38" s="31">
        <v>61628</v>
      </c>
      <c r="N38" s="43">
        <f t="shared" si="4"/>
        <v>57457</v>
      </c>
      <c r="O38" s="47">
        <v>34382</v>
      </c>
      <c r="P38" s="43">
        <f t="shared" si="5"/>
        <v>-27246</v>
      </c>
      <c r="Q38" s="31">
        <v>57426</v>
      </c>
      <c r="R38" s="31">
        <v>138063</v>
      </c>
      <c r="S38" s="43">
        <f t="shared" si="6"/>
        <v>80637</v>
      </c>
      <c r="T38" s="31">
        <v>180771</v>
      </c>
      <c r="U38" s="43">
        <f t="shared" si="7"/>
        <v>42708</v>
      </c>
      <c r="V38" s="31">
        <v>187669</v>
      </c>
      <c r="W38" s="43">
        <f t="shared" si="8"/>
        <v>6898</v>
      </c>
    </row>
    <row r="39" spans="2:23" ht="16" x14ac:dyDescent="0.2">
      <c r="B39" s="40" t="s">
        <v>257</v>
      </c>
      <c r="C39" s="45"/>
      <c r="D39" s="46" t="s">
        <v>224</v>
      </c>
      <c r="E39" s="26"/>
      <c r="F39" s="46"/>
      <c r="G39" s="26"/>
      <c r="H39" s="46"/>
      <c r="I39" s="43"/>
      <c r="J39" s="53"/>
      <c r="K39" s="32"/>
      <c r="L39" s="43"/>
      <c r="M39" s="32"/>
      <c r="N39" s="43"/>
      <c r="O39" s="46" t="s">
        <v>224</v>
      </c>
      <c r="P39" s="43"/>
      <c r="Q39" s="32"/>
      <c r="R39" s="32"/>
      <c r="S39" s="43"/>
      <c r="T39" s="32"/>
      <c r="U39" s="43"/>
      <c r="V39" s="32"/>
      <c r="W39" s="43"/>
    </row>
    <row r="40" spans="2:23" x14ac:dyDescent="0.2">
      <c r="B40" s="42" t="s">
        <v>258</v>
      </c>
      <c r="C40" s="47">
        <v>61180</v>
      </c>
      <c r="D40" s="47">
        <v>133237</v>
      </c>
      <c r="E40" s="26">
        <f t="shared" si="0"/>
        <v>72057</v>
      </c>
      <c r="F40" s="47">
        <v>148665</v>
      </c>
      <c r="G40" s="26">
        <f t="shared" si="1"/>
        <v>15428</v>
      </c>
      <c r="H40" s="47">
        <v>225968</v>
      </c>
      <c r="I40" s="43">
        <f t="shared" si="2"/>
        <v>77303</v>
      </c>
      <c r="J40" s="53">
        <v>55701</v>
      </c>
      <c r="K40" s="31">
        <v>112554</v>
      </c>
      <c r="L40" s="43">
        <f t="shared" si="3"/>
        <v>56853</v>
      </c>
      <c r="M40" s="31">
        <v>192906</v>
      </c>
      <c r="N40" s="43">
        <f t="shared" si="4"/>
        <v>80352</v>
      </c>
      <c r="O40" s="47">
        <v>201486</v>
      </c>
      <c r="P40" s="43">
        <f t="shared" si="5"/>
        <v>8580</v>
      </c>
      <c r="Q40" s="31">
        <v>68360</v>
      </c>
      <c r="R40" s="31">
        <v>128008</v>
      </c>
      <c r="S40" s="43">
        <f t="shared" si="6"/>
        <v>59648</v>
      </c>
      <c r="T40" s="31">
        <v>167135</v>
      </c>
      <c r="U40" s="43">
        <f t="shared" si="7"/>
        <v>39127</v>
      </c>
      <c r="V40" s="31">
        <v>186937</v>
      </c>
      <c r="W40" s="43">
        <f t="shared" si="8"/>
        <v>19802</v>
      </c>
    </row>
    <row r="41" spans="2:23" x14ac:dyDescent="0.2">
      <c r="B41" s="42" t="s">
        <v>259</v>
      </c>
      <c r="C41" s="47">
        <v>1099</v>
      </c>
      <c r="D41" s="47">
        <v>1862</v>
      </c>
      <c r="E41" s="26">
        <f t="shared" si="0"/>
        <v>763</v>
      </c>
      <c r="F41" s="47">
        <v>3437</v>
      </c>
      <c r="G41" s="26">
        <f t="shared" si="1"/>
        <v>1575</v>
      </c>
      <c r="H41" s="47">
        <v>7403</v>
      </c>
      <c r="I41" s="43">
        <f t="shared" si="2"/>
        <v>3966</v>
      </c>
      <c r="J41" s="53">
        <v>4692</v>
      </c>
      <c r="K41" s="31">
        <v>7455</v>
      </c>
      <c r="L41" s="43">
        <f t="shared" si="3"/>
        <v>2763</v>
      </c>
      <c r="M41" s="31">
        <v>8871</v>
      </c>
      <c r="N41" s="43">
        <f t="shared" si="4"/>
        <v>1416</v>
      </c>
      <c r="O41" s="47">
        <v>9595</v>
      </c>
      <c r="P41" s="43">
        <f t="shared" si="5"/>
        <v>724</v>
      </c>
      <c r="Q41" s="31">
        <v>1195</v>
      </c>
      <c r="R41" s="31">
        <v>2121</v>
      </c>
      <c r="S41" s="43">
        <f t="shared" si="6"/>
        <v>926</v>
      </c>
      <c r="T41" s="31">
        <v>3959</v>
      </c>
      <c r="U41" s="43">
        <f t="shared" si="7"/>
        <v>1838</v>
      </c>
      <c r="V41" s="31">
        <v>5830</v>
      </c>
      <c r="W41" s="43">
        <f t="shared" si="8"/>
        <v>1871</v>
      </c>
    </row>
    <row r="42" spans="2:23" x14ac:dyDescent="0.2">
      <c r="B42" s="42" t="s">
        <v>260</v>
      </c>
      <c r="C42" s="47">
        <v>1763</v>
      </c>
      <c r="D42" s="47">
        <v>52943</v>
      </c>
      <c r="E42" s="26">
        <f t="shared" si="0"/>
        <v>51180</v>
      </c>
      <c r="F42" s="47">
        <v>71800</v>
      </c>
      <c r="G42" s="26">
        <f t="shared" si="1"/>
        <v>18857</v>
      </c>
      <c r="H42" s="47">
        <v>92923</v>
      </c>
      <c r="I42" s="43">
        <f t="shared" si="2"/>
        <v>21123</v>
      </c>
      <c r="J42" s="53">
        <v>1651</v>
      </c>
      <c r="K42" s="31">
        <v>60792</v>
      </c>
      <c r="L42" s="43">
        <f t="shared" si="3"/>
        <v>59141</v>
      </c>
      <c r="M42" s="31">
        <v>62105</v>
      </c>
      <c r="N42" s="43">
        <f t="shared" si="4"/>
        <v>1313</v>
      </c>
      <c r="O42" s="47">
        <v>61027</v>
      </c>
      <c r="P42" s="43">
        <f t="shared" si="5"/>
        <v>-1078</v>
      </c>
      <c r="Q42" s="31">
        <v>1665</v>
      </c>
      <c r="R42" s="31">
        <v>10699</v>
      </c>
      <c r="S42" s="43">
        <f t="shared" si="6"/>
        <v>9034</v>
      </c>
      <c r="T42" s="31">
        <v>26728</v>
      </c>
      <c r="U42" s="43">
        <f t="shared" si="7"/>
        <v>16029</v>
      </c>
      <c r="V42" s="31">
        <v>42875</v>
      </c>
      <c r="W42" s="43">
        <f t="shared" si="8"/>
        <v>16147</v>
      </c>
    </row>
    <row r="43" spans="2:23" x14ac:dyDescent="0.2">
      <c r="B43" s="42" t="s">
        <v>261</v>
      </c>
      <c r="C43" s="44">
        <v>104230</v>
      </c>
      <c r="D43" s="44">
        <v>109939</v>
      </c>
      <c r="E43" s="26">
        <f t="shared" si="0"/>
        <v>5709</v>
      </c>
      <c r="F43" s="44">
        <v>118453</v>
      </c>
      <c r="G43" s="26">
        <f t="shared" si="1"/>
        <v>8514</v>
      </c>
      <c r="H43" s="44">
        <v>116997</v>
      </c>
      <c r="I43" s="43">
        <f t="shared" si="2"/>
        <v>-1456</v>
      </c>
      <c r="J43" s="53">
        <v>109161</v>
      </c>
      <c r="K43" s="30">
        <v>116555</v>
      </c>
      <c r="L43" s="43">
        <f t="shared" si="3"/>
        <v>7394</v>
      </c>
      <c r="M43" s="30">
        <v>150111</v>
      </c>
      <c r="N43" s="43">
        <f t="shared" si="4"/>
        <v>33556</v>
      </c>
      <c r="O43" s="44">
        <v>135707</v>
      </c>
      <c r="P43" s="43">
        <f t="shared" si="5"/>
        <v>-14404</v>
      </c>
      <c r="Q43" s="30">
        <v>100091</v>
      </c>
      <c r="R43" s="30">
        <v>93506</v>
      </c>
      <c r="S43" s="43">
        <f t="shared" si="6"/>
        <v>-6585</v>
      </c>
      <c r="T43" s="30">
        <v>89090</v>
      </c>
      <c r="U43" s="43">
        <f t="shared" si="7"/>
        <v>-4416</v>
      </c>
      <c r="V43" s="30">
        <v>65188</v>
      </c>
      <c r="W43" s="43">
        <f t="shared" si="8"/>
        <v>-23902</v>
      </c>
    </row>
    <row r="44" spans="2:23" x14ac:dyDescent="0.2">
      <c r="J44" s="32"/>
      <c r="K44" s="32"/>
    </row>
    <row r="45" spans="2:23" x14ac:dyDescent="0.2">
      <c r="B45" t="s">
        <v>176</v>
      </c>
      <c r="J45" s="32"/>
      <c r="K45" s="32"/>
    </row>
    <row r="46" spans="2:23" x14ac:dyDescent="0.2">
      <c r="B46" s="1" t="s">
        <v>177</v>
      </c>
      <c r="C46" s="48">
        <f>C3</f>
        <v>70951</v>
      </c>
      <c r="D46" s="48">
        <f t="shared" ref="D46:I46" si="9">D3</f>
        <v>152783</v>
      </c>
      <c r="E46" s="50">
        <f t="shared" si="9"/>
        <v>81832</v>
      </c>
      <c r="F46" s="48">
        <f t="shared" si="9"/>
        <v>228958</v>
      </c>
      <c r="G46" s="50">
        <f t="shared" si="9"/>
        <v>76175</v>
      </c>
      <c r="H46" s="48">
        <f t="shared" si="9"/>
        <v>298195</v>
      </c>
      <c r="I46" s="50">
        <f t="shared" si="9"/>
        <v>69237</v>
      </c>
      <c r="J46" s="53">
        <f t="shared" ref="J46:W46" si="10">J3</f>
        <v>71524</v>
      </c>
      <c r="K46" s="53">
        <f t="shared" si="10"/>
        <v>142976</v>
      </c>
      <c r="L46" s="50">
        <f t="shared" si="10"/>
        <v>71452</v>
      </c>
      <c r="M46" s="48">
        <f t="shared" si="10"/>
        <v>208899</v>
      </c>
      <c r="N46" s="50">
        <f t="shared" si="10"/>
        <v>65923</v>
      </c>
      <c r="O46" s="48">
        <f t="shared" si="10"/>
        <v>245980</v>
      </c>
      <c r="P46" s="50">
        <f t="shared" si="10"/>
        <v>37081</v>
      </c>
      <c r="Q46" s="48">
        <f t="shared" si="10"/>
        <v>50032</v>
      </c>
      <c r="R46" s="48">
        <f t="shared" si="10"/>
        <v>106698</v>
      </c>
      <c r="S46" s="50">
        <f t="shared" si="10"/>
        <v>56666</v>
      </c>
      <c r="T46" s="48">
        <f t="shared" si="10"/>
        <v>158388</v>
      </c>
      <c r="U46" s="50">
        <f t="shared" si="10"/>
        <v>51690</v>
      </c>
      <c r="V46" s="48">
        <f t="shared" si="10"/>
        <v>205872</v>
      </c>
      <c r="W46" s="50">
        <f t="shared" si="10"/>
        <v>47484</v>
      </c>
    </row>
    <row r="47" spans="2:23" x14ac:dyDescent="0.2">
      <c r="B47" s="3" t="s">
        <v>178</v>
      </c>
      <c r="C47" s="49">
        <f>C5</f>
        <v>34613</v>
      </c>
      <c r="D47" s="49">
        <f t="shared" ref="D47:I47" si="11">D5</f>
        <v>72566</v>
      </c>
      <c r="E47" s="51">
        <f t="shared" si="11"/>
        <v>37953</v>
      </c>
      <c r="F47" s="49">
        <f t="shared" si="11"/>
        <v>112691</v>
      </c>
      <c r="G47" s="51">
        <f t="shared" si="11"/>
        <v>40125</v>
      </c>
      <c r="H47" s="49">
        <f t="shared" si="11"/>
        <v>155023</v>
      </c>
      <c r="I47" s="51">
        <f t="shared" si="11"/>
        <v>42332</v>
      </c>
      <c r="J47" s="55">
        <f t="shared" ref="J47:W47" si="12">J5</f>
        <v>46352</v>
      </c>
      <c r="K47" s="55">
        <f t="shared" si="12"/>
        <v>96028</v>
      </c>
      <c r="L47" s="51">
        <f t="shared" si="12"/>
        <v>49676</v>
      </c>
      <c r="M47" s="49">
        <f t="shared" si="12"/>
        <v>146947</v>
      </c>
      <c r="N47" s="51">
        <f t="shared" si="12"/>
        <v>50919</v>
      </c>
      <c r="O47" s="49">
        <f t="shared" si="12"/>
        <v>201869</v>
      </c>
      <c r="P47" s="51">
        <f t="shared" si="12"/>
        <v>54922</v>
      </c>
      <c r="Q47" s="49">
        <f t="shared" si="12"/>
        <v>56423</v>
      </c>
      <c r="R47" s="49">
        <f t="shared" si="12"/>
        <v>114807</v>
      </c>
      <c r="S47" s="51">
        <f t="shared" si="12"/>
        <v>58384</v>
      </c>
      <c r="T47" s="49">
        <f t="shared" si="12"/>
        <v>172690</v>
      </c>
      <c r="U47" s="51">
        <f t="shared" si="12"/>
        <v>57883</v>
      </c>
      <c r="V47" s="49">
        <f t="shared" si="12"/>
        <v>232473</v>
      </c>
      <c r="W47" s="51">
        <f t="shared" si="12"/>
        <v>59783</v>
      </c>
    </row>
    <row r="48" spans="2:23" x14ac:dyDescent="0.2">
      <c r="B48" s="3" t="s">
        <v>179</v>
      </c>
      <c r="C48" s="49">
        <f>C6</f>
        <v>5980</v>
      </c>
      <c r="D48" s="49">
        <f t="shared" ref="D48:I48" si="13">D6</f>
        <v>10869</v>
      </c>
      <c r="E48" s="51">
        <f t="shared" si="13"/>
        <v>4889</v>
      </c>
      <c r="F48" s="49">
        <f t="shared" si="13"/>
        <v>17229</v>
      </c>
      <c r="G48" s="51">
        <f t="shared" si="13"/>
        <v>6360</v>
      </c>
      <c r="H48" s="49">
        <f t="shared" si="13"/>
        <v>22233</v>
      </c>
      <c r="I48" s="51">
        <f t="shared" si="13"/>
        <v>5004</v>
      </c>
      <c r="J48" s="55">
        <f t="shared" ref="J48:W48" si="14">J6</f>
        <v>6741</v>
      </c>
      <c r="K48" s="55">
        <f t="shared" si="14"/>
        <v>15047</v>
      </c>
      <c r="L48" s="51">
        <f t="shared" si="14"/>
        <v>8306</v>
      </c>
      <c r="M48" s="49">
        <f t="shared" si="14"/>
        <v>20336</v>
      </c>
      <c r="N48" s="51">
        <f t="shared" si="14"/>
        <v>5289</v>
      </c>
      <c r="O48" s="49">
        <f t="shared" si="14"/>
        <v>27240</v>
      </c>
      <c r="P48" s="51">
        <f t="shared" si="14"/>
        <v>6904</v>
      </c>
      <c r="Q48" s="49">
        <f t="shared" si="14"/>
        <v>-7530</v>
      </c>
      <c r="R48" s="49">
        <f t="shared" si="14"/>
        <v>15587</v>
      </c>
      <c r="S48" s="51">
        <f t="shared" si="14"/>
        <v>23117</v>
      </c>
      <c r="T48" s="49">
        <f t="shared" si="14"/>
        <v>25618</v>
      </c>
      <c r="U48" s="51">
        <f t="shared" si="14"/>
        <v>10031</v>
      </c>
      <c r="V48" s="49">
        <f t="shared" si="14"/>
        <v>33695</v>
      </c>
      <c r="W48" s="51">
        <f t="shared" si="14"/>
        <v>8077</v>
      </c>
    </row>
    <row r="49" spans="2:23" x14ac:dyDescent="0.2">
      <c r="B49" s="3" t="s">
        <v>180</v>
      </c>
      <c r="C49" s="29">
        <f>SUM(C7:C10)</f>
        <v>630</v>
      </c>
      <c r="D49" s="29">
        <f t="shared" ref="D49:I49" si="15">SUM(D7:D10)</f>
        <v>3921</v>
      </c>
      <c r="E49" s="29">
        <f t="shared" si="15"/>
        <v>3291</v>
      </c>
      <c r="F49" s="29">
        <f t="shared" si="15"/>
        <v>3362</v>
      </c>
      <c r="G49" s="29">
        <f t="shared" si="15"/>
        <v>-559</v>
      </c>
      <c r="H49" s="29">
        <f t="shared" si="15"/>
        <v>5188</v>
      </c>
      <c r="I49" s="29">
        <f t="shared" si="15"/>
        <v>1826</v>
      </c>
      <c r="J49" s="29">
        <f t="shared" ref="J49:W49" si="16">SUM(J7:J10)</f>
        <v>-5926</v>
      </c>
      <c r="K49" s="29">
        <f t="shared" si="16"/>
        <v>-10871</v>
      </c>
      <c r="L49" s="29">
        <f t="shared" si="16"/>
        <v>-4945</v>
      </c>
      <c r="M49" s="29">
        <f t="shared" si="16"/>
        <v>8225</v>
      </c>
      <c r="N49" s="29">
        <f t="shared" si="16"/>
        <v>19096</v>
      </c>
      <c r="O49" s="29">
        <f t="shared" si="16"/>
        <v>27369</v>
      </c>
      <c r="P49" s="29">
        <f t="shared" si="16"/>
        <v>19144</v>
      </c>
      <c r="Q49" s="29">
        <f t="shared" si="16"/>
        <v>7873</v>
      </c>
      <c r="R49" s="29">
        <f t="shared" si="16"/>
        <v>-12261</v>
      </c>
      <c r="S49" s="51">
        <f t="shared" si="16"/>
        <v>-20134</v>
      </c>
      <c r="T49" s="51">
        <f t="shared" si="16"/>
        <v>-15058</v>
      </c>
      <c r="U49" s="51">
        <f t="shared" si="16"/>
        <v>-2797</v>
      </c>
      <c r="V49" s="51">
        <f t="shared" si="16"/>
        <v>-434</v>
      </c>
      <c r="W49" s="51">
        <f t="shared" si="16"/>
        <v>14624</v>
      </c>
    </row>
    <row r="50" spans="2:23" x14ac:dyDescent="0.2">
      <c r="B50" s="1" t="s">
        <v>181</v>
      </c>
      <c r="S50" s="56"/>
      <c r="T50" s="56"/>
      <c r="U50" s="56"/>
      <c r="V50" s="56"/>
      <c r="W50" s="56"/>
    </row>
    <row r="51" spans="2:23" x14ac:dyDescent="0.2">
      <c r="B51" s="3" t="s">
        <v>139</v>
      </c>
      <c r="C51" s="49">
        <f>C12</f>
        <v>-16291</v>
      </c>
      <c r="D51" s="49">
        <f t="shared" ref="D51:I51" si="17">D12</f>
        <v>-15936</v>
      </c>
      <c r="E51" s="29">
        <f t="shared" si="17"/>
        <v>355</v>
      </c>
      <c r="F51" s="49">
        <f t="shared" si="17"/>
        <v>-21014</v>
      </c>
      <c r="G51" s="29">
        <f t="shared" si="17"/>
        <v>-5078</v>
      </c>
      <c r="H51" s="49">
        <f t="shared" si="17"/>
        <v>-12150</v>
      </c>
      <c r="I51" s="29">
        <f t="shared" si="17"/>
        <v>8864</v>
      </c>
      <c r="J51" s="49">
        <f t="shared" ref="J51:W51" si="18">J12</f>
        <v>6740</v>
      </c>
      <c r="K51" s="49">
        <f t="shared" si="18"/>
        <v>12595</v>
      </c>
      <c r="L51" s="29">
        <f t="shared" si="18"/>
        <v>5855</v>
      </c>
      <c r="M51" s="49">
        <f t="shared" si="18"/>
        <v>2931</v>
      </c>
      <c r="N51" s="29">
        <f t="shared" si="18"/>
        <v>-9664</v>
      </c>
      <c r="O51" s="49">
        <f t="shared" si="18"/>
        <v>1151</v>
      </c>
      <c r="P51" s="29">
        <f t="shared" si="18"/>
        <v>-1780</v>
      </c>
      <c r="Q51" s="49">
        <f t="shared" si="18"/>
        <v>-1438</v>
      </c>
      <c r="R51" s="49">
        <f t="shared" si="18"/>
        <v>-9821</v>
      </c>
      <c r="S51" s="51">
        <f t="shared" si="18"/>
        <v>-8383</v>
      </c>
      <c r="T51" s="49">
        <f t="shared" si="18"/>
        <v>-4838</v>
      </c>
      <c r="U51" s="51">
        <f t="shared" si="18"/>
        <v>4983</v>
      </c>
      <c r="V51" s="49">
        <f t="shared" si="18"/>
        <v>-1973</v>
      </c>
      <c r="W51" s="51">
        <f t="shared" si="18"/>
        <v>2865</v>
      </c>
    </row>
    <row r="52" spans="2:23" x14ac:dyDescent="0.2">
      <c r="B52" s="3" t="s">
        <v>140</v>
      </c>
      <c r="C52" s="49">
        <f t="shared" ref="C52:I57" si="19">C13</f>
        <v>-141363</v>
      </c>
      <c r="D52" s="49">
        <f t="shared" si="19"/>
        <v>-335968</v>
      </c>
      <c r="E52" s="29">
        <f t="shared" si="19"/>
        <v>-194605</v>
      </c>
      <c r="F52" s="49">
        <f t="shared" si="19"/>
        <v>-312288</v>
      </c>
      <c r="G52" s="29">
        <f t="shared" si="19"/>
        <v>23680</v>
      </c>
      <c r="H52" s="49">
        <f t="shared" si="19"/>
        <v>-283438</v>
      </c>
      <c r="I52" s="29">
        <f t="shared" si="19"/>
        <v>28850</v>
      </c>
      <c r="J52" s="49">
        <f t="shared" ref="J52:W52" si="20">J13</f>
        <v>111189</v>
      </c>
      <c r="K52" s="49">
        <f t="shared" si="20"/>
        <v>128554</v>
      </c>
      <c r="L52" s="29">
        <f t="shared" si="20"/>
        <v>17365</v>
      </c>
      <c r="M52" s="49">
        <f t="shared" si="20"/>
        <v>195590</v>
      </c>
      <c r="N52" s="29">
        <f t="shared" si="20"/>
        <v>67036</v>
      </c>
      <c r="O52" s="49">
        <f t="shared" si="20"/>
        <v>194890</v>
      </c>
      <c r="P52" s="29">
        <f t="shared" si="20"/>
        <v>-700</v>
      </c>
      <c r="Q52" s="49">
        <f t="shared" si="20"/>
        <v>74020</v>
      </c>
      <c r="R52" s="49">
        <f t="shared" si="20"/>
        <v>68866</v>
      </c>
      <c r="S52" s="51">
        <f t="shared" si="20"/>
        <v>-5154</v>
      </c>
      <c r="T52" s="49">
        <f t="shared" si="20"/>
        <v>60143</v>
      </c>
      <c r="U52" s="51">
        <f t="shared" si="20"/>
        <v>-8723</v>
      </c>
      <c r="V52" s="49">
        <f t="shared" si="20"/>
        <v>-26449</v>
      </c>
      <c r="W52" s="51">
        <f t="shared" si="20"/>
        <v>-86592</v>
      </c>
    </row>
    <row r="53" spans="2:23" x14ac:dyDescent="0.2">
      <c r="B53" s="3" t="s">
        <v>182</v>
      </c>
      <c r="C53" s="49">
        <f t="shared" si="19"/>
        <v>27661</v>
      </c>
      <c r="D53" s="49">
        <f t="shared" si="19"/>
        <v>110923</v>
      </c>
      <c r="E53" s="29">
        <f t="shared" si="19"/>
        <v>83262</v>
      </c>
      <c r="F53" s="49">
        <f t="shared" si="19"/>
        <v>-25761</v>
      </c>
      <c r="G53" s="29">
        <f t="shared" si="19"/>
        <v>-136684</v>
      </c>
      <c r="H53" s="49">
        <f t="shared" si="19"/>
        <v>-84732</v>
      </c>
      <c r="I53" s="29">
        <f t="shared" si="19"/>
        <v>-58971</v>
      </c>
      <c r="J53" s="49">
        <f t="shared" ref="J53:W53" si="21">J14</f>
        <v>47176</v>
      </c>
      <c r="K53" s="49">
        <f t="shared" si="21"/>
        <v>84885</v>
      </c>
      <c r="L53" s="29">
        <f t="shared" si="21"/>
        <v>37709</v>
      </c>
      <c r="M53" s="49">
        <f t="shared" si="21"/>
        <v>109338</v>
      </c>
      <c r="N53" s="29">
        <f t="shared" si="21"/>
        <v>24453</v>
      </c>
      <c r="O53" s="49">
        <f t="shared" si="21"/>
        <v>96985</v>
      </c>
      <c r="P53" s="29">
        <f t="shared" si="21"/>
        <v>-12353</v>
      </c>
      <c r="Q53" s="49">
        <f t="shared" si="21"/>
        <v>-35079</v>
      </c>
      <c r="R53" s="49">
        <f t="shared" si="21"/>
        <v>19136</v>
      </c>
      <c r="S53" s="51">
        <f t="shared" si="21"/>
        <v>54215</v>
      </c>
      <c r="T53" s="49">
        <f t="shared" si="21"/>
        <v>60747</v>
      </c>
      <c r="U53" s="51">
        <f t="shared" si="21"/>
        <v>41611</v>
      </c>
      <c r="V53" s="49">
        <f t="shared" si="21"/>
        <v>122338</v>
      </c>
      <c r="W53" s="51">
        <f t="shared" si="21"/>
        <v>61591</v>
      </c>
    </row>
    <row r="54" spans="2:23" x14ac:dyDescent="0.2">
      <c r="B54" s="3" t="s">
        <v>183</v>
      </c>
      <c r="C54" s="49">
        <f t="shared" si="19"/>
        <v>-3969</v>
      </c>
      <c r="D54" s="49">
        <f t="shared" si="19"/>
        <v>26174</v>
      </c>
      <c r="E54" s="29">
        <f t="shared" si="19"/>
        <v>30143</v>
      </c>
      <c r="F54" s="49">
        <f t="shared" si="19"/>
        <v>27796</v>
      </c>
      <c r="G54" s="29">
        <f t="shared" si="19"/>
        <v>1622</v>
      </c>
      <c r="H54" s="49">
        <f t="shared" si="19"/>
        <v>38716</v>
      </c>
      <c r="I54" s="29">
        <f t="shared" si="19"/>
        <v>10920</v>
      </c>
      <c r="J54" s="49">
        <f t="shared" ref="J54:W54" si="22">J15</f>
        <v>-68733</v>
      </c>
      <c r="K54" s="49">
        <f t="shared" si="22"/>
        <v>6579</v>
      </c>
      <c r="L54" s="29">
        <f t="shared" si="22"/>
        <v>75312</v>
      </c>
      <c r="M54" s="49">
        <f t="shared" si="22"/>
        <v>2950</v>
      </c>
      <c r="N54" s="29">
        <f t="shared" si="22"/>
        <v>-3629</v>
      </c>
      <c r="O54" s="49">
        <f t="shared" si="22"/>
        <v>7507</v>
      </c>
      <c r="P54" s="29">
        <f t="shared" si="22"/>
        <v>4557</v>
      </c>
      <c r="Q54" s="49">
        <f t="shared" si="22"/>
        <v>-7905</v>
      </c>
      <c r="R54" s="49">
        <f t="shared" si="22"/>
        <v>18969</v>
      </c>
      <c r="S54" s="51">
        <f t="shared" si="22"/>
        <v>26874</v>
      </c>
      <c r="T54" s="49">
        <f t="shared" si="22"/>
        <v>21939</v>
      </c>
      <c r="U54" s="51">
        <f t="shared" si="22"/>
        <v>2970</v>
      </c>
      <c r="V54" s="49">
        <f t="shared" si="22"/>
        <v>31477</v>
      </c>
      <c r="W54" s="51">
        <f t="shared" si="22"/>
        <v>9538</v>
      </c>
    </row>
    <row r="55" spans="2:23" x14ac:dyDescent="0.2">
      <c r="B55" s="3" t="s">
        <v>184</v>
      </c>
      <c r="C55" s="49">
        <f t="shared" si="19"/>
        <v>19842</v>
      </c>
      <c r="D55" s="49">
        <f t="shared" si="19"/>
        <v>-10681</v>
      </c>
      <c r="E55" s="29">
        <f t="shared" si="19"/>
        <v>-30523</v>
      </c>
      <c r="F55" s="49">
        <f t="shared" si="19"/>
        <v>-6360</v>
      </c>
      <c r="G55" s="29">
        <f t="shared" si="19"/>
        <v>4321</v>
      </c>
      <c r="H55" s="49">
        <f t="shared" si="19"/>
        <v>-8865</v>
      </c>
      <c r="I55" s="29">
        <f t="shared" si="19"/>
        <v>-2505</v>
      </c>
      <c r="J55" s="49">
        <f t="shared" ref="J55:W55" si="23">J16</f>
        <v>25495</v>
      </c>
      <c r="K55" s="49">
        <f t="shared" si="23"/>
        <v>-6755</v>
      </c>
      <c r="L55" s="29">
        <f t="shared" si="23"/>
        <v>-32250</v>
      </c>
      <c r="M55" s="49">
        <f t="shared" si="23"/>
        <v>-8912</v>
      </c>
      <c r="N55" s="29">
        <f t="shared" si="23"/>
        <v>-2157</v>
      </c>
      <c r="O55" s="49">
        <f t="shared" si="23"/>
        <v>-18413</v>
      </c>
      <c r="P55" s="29">
        <f t="shared" si="23"/>
        <v>-9501</v>
      </c>
      <c r="Q55" s="49">
        <f t="shared" si="23"/>
        <v>13186</v>
      </c>
      <c r="R55" s="49">
        <f t="shared" si="23"/>
        <v>24390</v>
      </c>
      <c r="S55" s="51">
        <f t="shared" si="23"/>
        <v>11204</v>
      </c>
      <c r="T55" s="49">
        <f t="shared" si="23"/>
        <v>24840</v>
      </c>
      <c r="U55" s="51">
        <f t="shared" si="23"/>
        <v>450</v>
      </c>
      <c r="V55" s="49">
        <f t="shared" si="23"/>
        <v>5657</v>
      </c>
      <c r="W55" s="51">
        <f t="shared" si="23"/>
        <v>-19183</v>
      </c>
    </row>
    <row r="56" spans="2:23" x14ac:dyDescent="0.2">
      <c r="B56" s="3" t="s">
        <v>156</v>
      </c>
      <c r="C56" s="49">
        <f t="shared" si="19"/>
        <v>7529</v>
      </c>
      <c r="D56" s="49">
        <f t="shared" si="19"/>
        <v>5728</v>
      </c>
      <c r="E56" s="29">
        <f t="shared" si="19"/>
        <v>-1801</v>
      </c>
      <c r="F56" s="49">
        <f t="shared" si="19"/>
        <v>1415</v>
      </c>
      <c r="G56" s="29">
        <f t="shared" si="19"/>
        <v>-4313</v>
      </c>
      <c r="H56" s="49">
        <f t="shared" si="19"/>
        <v>-4432</v>
      </c>
      <c r="I56" s="29">
        <f t="shared" si="19"/>
        <v>-5847</v>
      </c>
      <c r="J56" s="49">
        <f t="shared" ref="J56:W56" si="24">J17</f>
        <v>4358</v>
      </c>
      <c r="K56" s="49">
        <f t="shared" si="24"/>
        <v>4324</v>
      </c>
      <c r="L56" s="29">
        <f t="shared" si="24"/>
        <v>-34</v>
      </c>
      <c r="M56" s="49">
        <f t="shared" si="24"/>
        <v>3323</v>
      </c>
      <c r="N56" s="29">
        <f t="shared" si="24"/>
        <v>-1001</v>
      </c>
      <c r="O56" s="49">
        <f t="shared" si="24"/>
        <v>1217</v>
      </c>
      <c r="P56" s="29">
        <f t="shared" si="24"/>
        <v>-2106</v>
      </c>
      <c r="Q56" s="49">
        <f t="shared" si="24"/>
        <v>2918</v>
      </c>
      <c r="R56" s="49">
        <f t="shared" si="24"/>
        <v>2045</v>
      </c>
      <c r="S56" s="51">
        <f t="shared" si="24"/>
        <v>-873</v>
      </c>
      <c r="T56" s="49">
        <f t="shared" si="24"/>
        <v>1195</v>
      </c>
      <c r="U56" s="51">
        <f t="shared" si="24"/>
        <v>-850</v>
      </c>
      <c r="V56" s="49">
        <f t="shared" si="24"/>
        <v>1886</v>
      </c>
      <c r="W56" s="51">
        <f t="shared" si="24"/>
        <v>691</v>
      </c>
    </row>
    <row r="57" spans="2:23" x14ac:dyDescent="0.2">
      <c r="B57" s="3" t="s">
        <v>185</v>
      </c>
      <c r="C57" s="49">
        <f t="shared" si="19"/>
        <v>-8916</v>
      </c>
      <c r="D57" s="49">
        <f t="shared" si="19"/>
        <v>-12526</v>
      </c>
      <c r="E57" s="29">
        <f t="shared" si="19"/>
        <v>-3610</v>
      </c>
      <c r="F57" s="49">
        <f t="shared" si="19"/>
        <v>-18703</v>
      </c>
      <c r="G57" s="29">
        <f t="shared" si="19"/>
        <v>-6177</v>
      </c>
      <c r="H57" s="49">
        <f t="shared" si="19"/>
        <v>-13288</v>
      </c>
      <c r="I57" s="29">
        <f t="shared" si="19"/>
        <v>5415</v>
      </c>
      <c r="J57" s="49">
        <f t="shared" ref="J57:W57" si="25">J18</f>
        <v>5364</v>
      </c>
      <c r="K57" s="49">
        <f t="shared" si="25"/>
        <v>3283</v>
      </c>
      <c r="L57" s="29">
        <f t="shared" si="25"/>
        <v>-2081</v>
      </c>
      <c r="M57" s="49">
        <f t="shared" si="25"/>
        <v>9348</v>
      </c>
      <c r="N57" s="29">
        <f t="shared" si="25"/>
        <v>6065</v>
      </c>
      <c r="O57" s="49">
        <f t="shared" si="25"/>
        <v>17794</v>
      </c>
      <c r="P57" s="29">
        <f t="shared" si="25"/>
        <v>8446</v>
      </c>
      <c r="Q57" s="49">
        <f t="shared" si="25"/>
        <v>-4990</v>
      </c>
      <c r="R57" s="49">
        <f t="shared" si="25"/>
        <v>-6936</v>
      </c>
      <c r="S57" s="51">
        <f t="shared" si="25"/>
        <v>-1946</v>
      </c>
      <c r="T57" s="49">
        <f t="shared" si="25"/>
        <v>-3896</v>
      </c>
      <c r="U57" s="51">
        <f t="shared" si="25"/>
        <v>3040</v>
      </c>
      <c r="V57" s="49">
        <f t="shared" si="25"/>
        <v>-1387</v>
      </c>
      <c r="W57" s="51">
        <f t="shared" si="25"/>
        <v>2509</v>
      </c>
    </row>
    <row r="58" spans="2:23" x14ac:dyDescent="0.2">
      <c r="B58" s="1" t="s">
        <v>186</v>
      </c>
      <c r="C58" s="43">
        <f>SUM(C46:C57)</f>
        <v>-3333</v>
      </c>
      <c r="D58" s="43">
        <f t="shared" ref="D58:J58" si="26">SUM(D46:D57)</f>
        <v>7853</v>
      </c>
      <c r="E58" s="43">
        <f t="shared" si="26"/>
        <v>11186</v>
      </c>
      <c r="F58" s="43">
        <f t="shared" si="26"/>
        <v>7325</v>
      </c>
      <c r="G58" s="43">
        <f t="shared" si="26"/>
        <v>-528</v>
      </c>
      <c r="H58" s="43">
        <f t="shared" si="26"/>
        <v>112450</v>
      </c>
      <c r="I58" s="43">
        <f t="shared" si="26"/>
        <v>105125</v>
      </c>
      <c r="J58" s="48">
        <f t="shared" si="26"/>
        <v>250280</v>
      </c>
      <c r="K58" s="48">
        <f t="shared" ref="K58:W58" si="27">SUM(K46:K57)</f>
        <v>476645</v>
      </c>
      <c r="L58" s="43">
        <f t="shared" si="27"/>
        <v>226365</v>
      </c>
      <c r="M58" s="48">
        <f t="shared" si="27"/>
        <v>698975</v>
      </c>
      <c r="N58" s="43">
        <f t="shared" si="27"/>
        <v>222330</v>
      </c>
      <c r="O58" s="48">
        <f t="shared" si="27"/>
        <v>803589</v>
      </c>
      <c r="P58" s="43">
        <f t="shared" si="27"/>
        <v>104614</v>
      </c>
      <c r="Q58" s="48">
        <f t="shared" si="27"/>
        <v>147510</v>
      </c>
      <c r="R58" s="48">
        <f t="shared" si="27"/>
        <v>341480</v>
      </c>
      <c r="S58" s="50">
        <f t="shared" si="27"/>
        <v>193970</v>
      </c>
      <c r="T58" s="48">
        <f t="shared" si="27"/>
        <v>501768</v>
      </c>
      <c r="U58" s="50">
        <f t="shared" si="27"/>
        <v>160288</v>
      </c>
      <c r="V58" s="48">
        <f t="shared" si="27"/>
        <v>603155</v>
      </c>
      <c r="W58" s="50">
        <f t="shared" si="27"/>
        <v>101387</v>
      </c>
    </row>
    <row r="59" spans="2:23" x14ac:dyDescent="0.2">
      <c r="B59" s="2" t="s">
        <v>187</v>
      </c>
      <c r="J59" s="22"/>
      <c r="K59" s="22"/>
      <c r="M59" s="22"/>
      <c r="Q59" s="22"/>
      <c r="R59" s="22"/>
      <c r="S59" s="56"/>
      <c r="T59" s="22"/>
      <c r="U59" s="56"/>
      <c r="V59" s="22"/>
      <c r="W59" s="56"/>
    </row>
    <row r="60" spans="2:23" x14ac:dyDescent="0.2">
      <c r="B60" s="3" t="s">
        <v>188</v>
      </c>
      <c r="C60" s="49">
        <f>C21</f>
        <v>-100904</v>
      </c>
      <c r="D60" s="49">
        <f t="shared" ref="D60:I60" si="28">D21</f>
        <v>-214283</v>
      </c>
      <c r="E60" s="29">
        <f t="shared" si="28"/>
        <v>-113379</v>
      </c>
      <c r="F60" s="49">
        <f t="shared" si="28"/>
        <v>-322825</v>
      </c>
      <c r="G60" s="29">
        <f t="shared" si="28"/>
        <v>-108542</v>
      </c>
      <c r="H60" s="49">
        <f t="shared" si="28"/>
        <v>-456600</v>
      </c>
      <c r="I60" s="29">
        <f t="shared" si="28"/>
        <v>-133775</v>
      </c>
      <c r="J60" s="49">
        <f t="shared" ref="J60:W60" si="29">J21</f>
        <v>-139398</v>
      </c>
      <c r="K60" s="49">
        <f t="shared" si="29"/>
        <v>-279175</v>
      </c>
      <c r="L60" s="29">
        <f t="shared" si="29"/>
        <v>-139777</v>
      </c>
      <c r="M60" s="49">
        <f t="shared" si="29"/>
        <v>-413717</v>
      </c>
      <c r="N60" s="29">
        <f t="shared" si="29"/>
        <v>-134542</v>
      </c>
      <c r="O60" s="49">
        <f t="shared" si="29"/>
        <v>-547613</v>
      </c>
      <c r="P60" s="29">
        <f t="shared" si="29"/>
        <v>-133896</v>
      </c>
      <c r="Q60" s="49">
        <f t="shared" si="29"/>
        <v>-111688</v>
      </c>
      <c r="R60" s="49">
        <f t="shared" si="29"/>
        <v>-225614</v>
      </c>
      <c r="S60" s="51">
        <f t="shared" si="29"/>
        <v>-113926</v>
      </c>
      <c r="T60" s="49">
        <f t="shared" si="29"/>
        <v>-349360</v>
      </c>
      <c r="U60" s="51">
        <f t="shared" si="29"/>
        <v>-123746</v>
      </c>
      <c r="V60" s="49">
        <f t="shared" si="29"/>
        <v>-446826</v>
      </c>
      <c r="W60" s="51">
        <f t="shared" si="29"/>
        <v>-97466</v>
      </c>
    </row>
    <row r="61" spans="2:23" x14ac:dyDescent="0.2">
      <c r="B61" s="3" t="s">
        <v>189</v>
      </c>
      <c r="C61" s="29">
        <f>SUM(C22:C23)</f>
        <v>-490</v>
      </c>
      <c r="D61" s="29">
        <f t="shared" ref="D61:I61" si="30">SUM(D22:D23)</f>
        <v>3652</v>
      </c>
      <c r="E61" s="29">
        <f t="shared" si="30"/>
        <v>4142</v>
      </c>
      <c r="F61" s="29">
        <f t="shared" si="30"/>
        <v>3652</v>
      </c>
      <c r="G61" s="29">
        <f t="shared" si="30"/>
        <v>0</v>
      </c>
      <c r="H61" s="29">
        <f t="shared" si="30"/>
        <v>963</v>
      </c>
      <c r="I61" s="29">
        <f t="shared" si="30"/>
        <v>-2689</v>
      </c>
      <c r="J61" s="29">
        <f t="shared" ref="J61:W61" si="31">SUM(J22:J23)</f>
        <v>0</v>
      </c>
      <c r="K61" s="29">
        <f t="shared" si="31"/>
        <v>-17156</v>
      </c>
      <c r="L61" s="29">
        <f t="shared" si="31"/>
        <v>-17156</v>
      </c>
      <c r="M61" s="29">
        <f t="shared" si="31"/>
        <v>-17353</v>
      </c>
      <c r="N61" s="29">
        <f t="shared" si="31"/>
        <v>-197</v>
      </c>
      <c r="O61" s="29">
        <f t="shared" si="31"/>
        <v>-17353</v>
      </c>
      <c r="P61" s="29">
        <f t="shared" si="31"/>
        <v>0</v>
      </c>
      <c r="Q61" s="29">
        <f t="shared" si="31"/>
        <v>0</v>
      </c>
      <c r="R61" s="29">
        <f t="shared" si="31"/>
        <v>0</v>
      </c>
      <c r="S61" s="29">
        <f t="shared" si="31"/>
        <v>0</v>
      </c>
      <c r="T61" s="29">
        <f t="shared" si="31"/>
        <v>0</v>
      </c>
      <c r="U61" s="29">
        <f t="shared" si="31"/>
        <v>0</v>
      </c>
      <c r="V61" s="29">
        <f t="shared" si="31"/>
        <v>0</v>
      </c>
      <c r="W61" s="29">
        <f t="shared" si="31"/>
        <v>0</v>
      </c>
    </row>
    <row r="62" spans="2:23" x14ac:dyDescent="0.2">
      <c r="B62" s="1" t="s">
        <v>190</v>
      </c>
      <c r="C62" s="29">
        <f>SUM(C60:C61)</f>
        <v>-101394</v>
      </c>
      <c r="D62" s="29">
        <f t="shared" ref="D62:J62" si="32">SUM(D60:D61)</f>
        <v>-210631</v>
      </c>
      <c r="E62" s="29">
        <f t="shared" si="32"/>
        <v>-109237</v>
      </c>
      <c r="F62" s="29">
        <f t="shared" si="32"/>
        <v>-319173</v>
      </c>
      <c r="G62" s="29">
        <f t="shared" si="32"/>
        <v>-108542</v>
      </c>
      <c r="H62" s="29">
        <f t="shared" si="32"/>
        <v>-455637</v>
      </c>
      <c r="I62" s="29">
        <f t="shared" si="32"/>
        <v>-136464</v>
      </c>
      <c r="J62" s="29">
        <f t="shared" si="32"/>
        <v>-139398</v>
      </c>
      <c r="K62" s="29">
        <f t="shared" ref="K62:W62" si="33">SUM(K60:K61)</f>
        <v>-296331</v>
      </c>
      <c r="L62" s="29">
        <f t="shared" si="33"/>
        <v>-156933</v>
      </c>
      <c r="M62" s="29">
        <f t="shared" si="33"/>
        <v>-431070</v>
      </c>
      <c r="N62" s="29">
        <f t="shared" si="33"/>
        <v>-134739</v>
      </c>
      <c r="O62" s="29">
        <f t="shared" si="33"/>
        <v>-564966</v>
      </c>
      <c r="P62" s="29">
        <f t="shared" si="33"/>
        <v>-133896</v>
      </c>
      <c r="Q62" s="29">
        <f t="shared" si="33"/>
        <v>-111688</v>
      </c>
      <c r="R62" s="29">
        <f t="shared" si="33"/>
        <v>-225614</v>
      </c>
      <c r="S62" s="29">
        <f t="shared" si="33"/>
        <v>-113926</v>
      </c>
      <c r="T62" s="29">
        <f t="shared" si="33"/>
        <v>-349360</v>
      </c>
      <c r="U62" s="29">
        <f t="shared" si="33"/>
        <v>-123746</v>
      </c>
      <c r="V62" s="29">
        <f t="shared" si="33"/>
        <v>-446826</v>
      </c>
      <c r="W62" s="29">
        <f t="shared" si="33"/>
        <v>-97466</v>
      </c>
    </row>
    <row r="63" spans="2:23" x14ac:dyDescent="0.2">
      <c r="B63" t="s">
        <v>191</v>
      </c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</row>
    <row r="64" spans="2:23" x14ac:dyDescent="0.2">
      <c r="B64" s="3" t="s">
        <v>192</v>
      </c>
      <c r="C64" s="27">
        <f>SUM(C26:C29)</f>
        <v>-1051</v>
      </c>
      <c r="D64" s="27">
        <f t="shared" ref="D64:I64" si="34">SUM(D26:D29)</f>
        <v>67023</v>
      </c>
      <c r="E64" s="27">
        <f t="shared" si="34"/>
        <v>68074</v>
      </c>
      <c r="F64" s="27">
        <f t="shared" si="34"/>
        <v>174823</v>
      </c>
      <c r="G64" s="27">
        <f t="shared" si="34"/>
        <v>107800</v>
      </c>
      <c r="H64" s="27">
        <f t="shared" si="34"/>
        <v>208097</v>
      </c>
      <c r="I64" s="27">
        <f t="shared" si="34"/>
        <v>33274</v>
      </c>
      <c r="J64" s="27">
        <f t="shared" ref="J64:W64" si="35">SUM(J26:J29)</f>
        <v>-104226</v>
      </c>
      <c r="K64" s="27">
        <f t="shared" si="35"/>
        <v>-176251</v>
      </c>
      <c r="L64" s="27">
        <f t="shared" si="35"/>
        <v>-72025</v>
      </c>
      <c r="M64" s="27">
        <f t="shared" si="35"/>
        <v>-211777</v>
      </c>
      <c r="N64" s="27">
        <f t="shared" si="35"/>
        <v>-35526</v>
      </c>
      <c r="O64" s="27">
        <f t="shared" si="35"/>
        <v>-212303</v>
      </c>
      <c r="P64" s="27">
        <f t="shared" si="35"/>
        <v>-526</v>
      </c>
      <c r="Q64" s="27">
        <f t="shared" si="35"/>
        <v>-526</v>
      </c>
      <c r="R64" s="27">
        <f t="shared" si="35"/>
        <v>-1051</v>
      </c>
      <c r="S64" s="27">
        <f t="shared" si="35"/>
        <v>-525</v>
      </c>
      <c r="T64" s="27">
        <f t="shared" si="35"/>
        <v>-1577</v>
      </c>
      <c r="U64" s="27">
        <f t="shared" si="35"/>
        <v>-526</v>
      </c>
      <c r="V64" s="27">
        <f t="shared" si="35"/>
        <v>-2103</v>
      </c>
      <c r="W64" s="27">
        <f t="shared" si="35"/>
        <v>-526</v>
      </c>
    </row>
    <row r="65" spans="2:23" x14ac:dyDescent="0.2">
      <c r="B65" s="3" t="s">
        <v>193</v>
      </c>
      <c r="C65" s="27">
        <f>SUM(C31:C32)</f>
        <v>2540</v>
      </c>
      <c r="D65" s="27">
        <f t="shared" ref="D65:I65" si="36">SUM(D31:D32)</f>
        <v>7139</v>
      </c>
      <c r="E65" s="27">
        <f t="shared" si="36"/>
        <v>4599</v>
      </c>
      <c r="F65" s="27">
        <f t="shared" si="36"/>
        <v>11479</v>
      </c>
      <c r="G65" s="27">
        <f t="shared" si="36"/>
        <v>4340</v>
      </c>
      <c r="H65" s="27">
        <f t="shared" si="36"/>
        <v>11971</v>
      </c>
      <c r="I65" s="27">
        <f t="shared" si="36"/>
        <v>492</v>
      </c>
      <c r="J65" s="27">
        <f t="shared" ref="J65:W65" si="37">SUM(J31:J32)</f>
        <v>4688</v>
      </c>
      <c r="K65" s="27">
        <f t="shared" si="37"/>
        <v>7416</v>
      </c>
      <c r="L65" s="27">
        <f t="shared" si="37"/>
        <v>2728</v>
      </c>
      <c r="M65" s="27">
        <f t="shared" si="37"/>
        <v>13068</v>
      </c>
      <c r="N65" s="27">
        <f t="shared" si="37"/>
        <v>5652</v>
      </c>
      <c r="O65" s="27">
        <f t="shared" si="37"/>
        <v>16119</v>
      </c>
      <c r="P65" s="27">
        <f t="shared" si="37"/>
        <v>3051</v>
      </c>
      <c r="Q65" s="27">
        <f t="shared" si="37"/>
        <v>6574</v>
      </c>
      <c r="R65" s="27">
        <f t="shared" si="37"/>
        <v>8162</v>
      </c>
      <c r="S65" s="27">
        <f t="shared" si="37"/>
        <v>1588</v>
      </c>
      <c r="T65" s="27">
        <f t="shared" si="37"/>
        <v>11670</v>
      </c>
      <c r="U65" s="27">
        <f t="shared" si="37"/>
        <v>3508</v>
      </c>
      <c r="V65" s="27">
        <f t="shared" si="37"/>
        <v>15574</v>
      </c>
      <c r="W65" s="27">
        <f t="shared" si="37"/>
        <v>3904</v>
      </c>
    </row>
    <row r="66" spans="2:23" x14ac:dyDescent="0.2">
      <c r="B66" s="3" t="s">
        <v>180</v>
      </c>
      <c r="C66" s="27">
        <f>SUM(C30,C33,C34)</f>
        <v>-4378</v>
      </c>
      <c r="D66" s="27">
        <f t="shared" ref="D66:I66" si="38">SUM(D30,D33,D34)</f>
        <v>-4651</v>
      </c>
      <c r="E66" s="27">
        <f t="shared" si="38"/>
        <v>-273</v>
      </c>
      <c r="F66" s="27">
        <f t="shared" si="38"/>
        <v>-6211</v>
      </c>
      <c r="G66" s="27">
        <f t="shared" si="38"/>
        <v>-1560</v>
      </c>
      <c r="H66" s="27">
        <f t="shared" si="38"/>
        <v>-6531</v>
      </c>
      <c r="I66" s="27">
        <f t="shared" si="38"/>
        <v>-320</v>
      </c>
      <c r="J66" s="27">
        <f t="shared" ref="J66:W66" si="39">SUM(J30,J33,J34)</f>
        <v>-16104</v>
      </c>
      <c r="K66" s="27">
        <f t="shared" si="39"/>
        <v>-17102</v>
      </c>
      <c r="L66" s="27">
        <f t="shared" si="39"/>
        <v>-998</v>
      </c>
      <c r="M66" s="27">
        <f t="shared" si="39"/>
        <v>-17362</v>
      </c>
      <c r="N66" s="27">
        <f t="shared" si="39"/>
        <v>-260</v>
      </c>
      <c r="O66" s="27">
        <f t="shared" si="39"/>
        <v>-17851</v>
      </c>
      <c r="P66" s="27">
        <f t="shared" si="39"/>
        <v>-489</v>
      </c>
      <c r="Q66" s="27">
        <f t="shared" si="39"/>
        <v>-18826</v>
      </c>
      <c r="R66" s="27">
        <f t="shared" si="39"/>
        <v>-19296</v>
      </c>
      <c r="S66" s="27">
        <f t="shared" si="39"/>
        <v>-470</v>
      </c>
      <c r="T66" s="27">
        <f t="shared" si="39"/>
        <v>-16112</v>
      </c>
      <c r="U66" s="27">
        <f t="shared" si="39"/>
        <v>3184</v>
      </c>
      <c r="V66" s="27">
        <f t="shared" si="39"/>
        <v>-16513</v>
      </c>
      <c r="W66" s="27">
        <f t="shared" si="39"/>
        <v>-401</v>
      </c>
    </row>
    <row r="67" spans="2:23" x14ac:dyDescent="0.2">
      <c r="B67" s="1" t="s">
        <v>194</v>
      </c>
      <c r="C67" s="27">
        <f>SUM(C64:C66)</f>
        <v>-2889</v>
      </c>
      <c r="D67" s="27">
        <f t="shared" ref="D67:J67" si="40">SUM(D64:D66)</f>
        <v>69511</v>
      </c>
      <c r="E67" s="27">
        <f t="shared" si="40"/>
        <v>72400</v>
      </c>
      <c r="F67" s="27">
        <f t="shared" si="40"/>
        <v>180091</v>
      </c>
      <c r="G67" s="27">
        <f t="shared" si="40"/>
        <v>110580</v>
      </c>
      <c r="H67" s="27">
        <f t="shared" si="40"/>
        <v>213537</v>
      </c>
      <c r="I67" s="27">
        <f t="shared" si="40"/>
        <v>33446</v>
      </c>
      <c r="J67" s="27">
        <f t="shared" si="40"/>
        <v>-115642</v>
      </c>
      <c r="K67" s="27">
        <f t="shared" ref="K67:W67" si="41">SUM(K64:K66)</f>
        <v>-185937</v>
      </c>
      <c r="L67" s="27">
        <f t="shared" si="41"/>
        <v>-70295</v>
      </c>
      <c r="M67" s="27">
        <f t="shared" si="41"/>
        <v>-216071</v>
      </c>
      <c r="N67" s="27">
        <f t="shared" si="41"/>
        <v>-30134</v>
      </c>
      <c r="O67" s="27">
        <f t="shared" si="41"/>
        <v>-214035</v>
      </c>
      <c r="P67" s="27">
        <f t="shared" si="41"/>
        <v>2036</v>
      </c>
      <c r="Q67" s="27">
        <f t="shared" si="41"/>
        <v>-12778</v>
      </c>
      <c r="R67" s="27">
        <f t="shared" si="41"/>
        <v>-12185</v>
      </c>
      <c r="S67" s="27">
        <f t="shared" si="41"/>
        <v>593</v>
      </c>
      <c r="T67" s="27">
        <f t="shared" si="41"/>
        <v>-6019</v>
      </c>
      <c r="U67" s="27">
        <f t="shared" si="41"/>
        <v>6166</v>
      </c>
      <c r="V67" s="27">
        <f t="shared" si="41"/>
        <v>-3042</v>
      </c>
      <c r="W67" s="27">
        <f t="shared" si="41"/>
        <v>2977</v>
      </c>
    </row>
    <row r="68" spans="2:23" x14ac:dyDescent="0.2">
      <c r="B68" s="2" t="s">
        <v>195</v>
      </c>
      <c r="C68" s="27">
        <f>SUM(C58,C62,C67)</f>
        <v>-107616</v>
      </c>
      <c r="D68" s="27">
        <f t="shared" ref="D68:J68" si="42">SUM(D58,D62,D67)</f>
        <v>-133267</v>
      </c>
      <c r="E68" s="27">
        <f t="shared" si="42"/>
        <v>-25651</v>
      </c>
      <c r="F68" s="27">
        <f t="shared" si="42"/>
        <v>-131757</v>
      </c>
      <c r="G68" s="27">
        <f t="shared" si="42"/>
        <v>1510</v>
      </c>
      <c r="H68" s="27">
        <f t="shared" si="42"/>
        <v>-129650</v>
      </c>
      <c r="I68" s="27">
        <f t="shared" si="42"/>
        <v>2107</v>
      </c>
      <c r="J68" s="27">
        <f t="shared" si="42"/>
        <v>-4760</v>
      </c>
      <c r="K68" s="27">
        <f t="shared" ref="K68:W68" si="43">SUM(K58,K62,K67)</f>
        <v>-5623</v>
      </c>
      <c r="L68" s="27">
        <f t="shared" si="43"/>
        <v>-863</v>
      </c>
      <c r="M68" s="27">
        <f t="shared" si="43"/>
        <v>51834</v>
      </c>
      <c r="N68" s="27">
        <f t="shared" si="43"/>
        <v>57457</v>
      </c>
      <c r="O68" s="27">
        <f t="shared" si="43"/>
        <v>24588</v>
      </c>
      <c r="P68" s="27">
        <f t="shared" si="43"/>
        <v>-27246</v>
      </c>
      <c r="Q68" s="27">
        <f t="shared" si="43"/>
        <v>23044</v>
      </c>
      <c r="R68" s="27">
        <f t="shared" si="43"/>
        <v>103681</v>
      </c>
      <c r="S68" s="27">
        <f t="shared" si="43"/>
        <v>80637</v>
      </c>
      <c r="T68" s="27">
        <f t="shared" si="43"/>
        <v>146389</v>
      </c>
      <c r="U68" s="27">
        <f t="shared" si="43"/>
        <v>42708</v>
      </c>
      <c r="V68" s="27">
        <f t="shared" si="43"/>
        <v>153287</v>
      </c>
      <c r="W68" s="27">
        <f t="shared" si="43"/>
        <v>6898</v>
      </c>
    </row>
    <row r="71" spans="2:23" x14ac:dyDescent="0.2">
      <c r="C71" s="43"/>
    </row>
  </sheetData>
  <mergeCells count="3">
    <mergeCell ref="C1:I1"/>
    <mergeCell ref="J1:P1"/>
    <mergeCell ref="Q1:W1"/>
  </mergeCells>
  <pageMargins left="0.7" right="0.7" top="0.75" bottom="0.75" header="0.3" footer="0.3"/>
  <legacyDrawing r:id="rId1"/>
</worksheet>
</file>

<file path=docMetadata/LabelInfo.xml><?xml version="1.0" encoding="utf-8"?>
<clbl:labelList xmlns:clbl="http://schemas.microsoft.com/office/2020/mipLabelMetadata">
  <clbl:label id="{dd8cbebb-2139-4df8-b411-4e3e87abeb5c}" enabled="0" method="" siteId="{dd8cbebb-2139-4df8-b411-4e3e87abeb5c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Assumptions &amp; Drivers</vt:lpstr>
      <vt:lpstr>DCF Summary</vt:lpstr>
      <vt:lpstr>DCF</vt:lpstr>
      <vt:lpstr>WACC</vt:lpstr>
      <vt:lpstr>Financial Statements &amp; Metrics</vt:lpstr>
      <vt:lpstr>Checks</vt:lpstr>
      <vt:lpstr>Ratios &amp; Estimates &gt;&gt;&gt;</vt:lpstr>
      <vt:lpstr>Ratio Analysis Quarterly</vt:lpstr>
      <vt:lpstr>Comps</vt:lpstr>
      <vt:lpstr>Sell Side Ests</vt:lpstr>
      <vt:lpstr>Raw Calcs &gt;&gt;&gt;</vt:lpstr>
      <vt:lpstr>Q4 IS Calcs</vt:lpstr>
      <vt:lpstr>CFS Quarterly and Consolidation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Charles Papagiannopoulos</cp:lastModifiedBy>
  <cp:revision/>
  <dcterms:created xsi:type="dcterms:W3CDTF">2025-04-19T01:00:47Z</dcterms:created>
  <dcterms:modified xsi:type="dcterms:W3CDTF">2025-08-08T13:44:59Z</dcterms:modified>
  <cp:category/>
  <cp:contentStatus/>
</cp:coreProperties>
</file>